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wangba\_3 Guidelines\8 TfNSW Economic Resource Public\VOC models urban rural\"/>
    </mc:Choice>
  </mc:AlternateContent>
  <xr:revisionPtr revIDLastSave="0" documentId="13_ncr:1_{B52FC929-7529-45E6-BF5A-C16F0B9F2A8C}" xr6:coauthVersionLast="47" xr6:coauthVersionMax="47" xr10:uidLastSave="{00000000-0000-0000-0000-000000000000}"/>
  <bookViews>
    <workbookView xWindow="30612" yWindow="180" windowWidth="30936" windowHeight="16896" tabRatio="905" xr2:uid="{00000000-000D-0000-FFFF-FFFF00000000}"/>
  </bookViews>
  <sheets>
    <sheet name="Cover" sheetId="10" r:id="rId1"/>
    <sheet name="User guide" sheetId="11" r:id="rId2"/>
    <sheet name="Model selection guide" sheetId="13" r:id="rId3"/>
    <sheet name="Calculator" sheetId="12" r:id="rId4"/>
    <sheet name="Additional inputs" sheetId="4" r:id="rId5"/>
    <sheet name="CPI" sheetId="5" state="hidden" r:id="rId6"/>
    <sheet name="VOC coefficients" sheetId="6" r:id="rId7"/>
    <sheet name="Fuel coefficients" sheetId="7" r:id="rId8"/>
    <sheet name="IRI scale" sheetId="8" state="hidden" r:id="rId9"/>
  </sheets>
  <externalReferences>
    <externalReference r:id="rId10"/>
  </externalReferences>
  <definedNames>
    <definedName name="base_fuel">'Fuel coefficients'!$I:$I</definedName>
    <definedName name="basevoc_col">'VOC coefficients'!$I:$I</definedName>
    <definedName name="bus_route">'[1]Bus Route List'!$A$1:$A$575</definedName>
    <definedName name="curv_col">'VOC coefficients'!$F:$F</definedName>
    <definedName name="curv_fuel">'Fuel coefficients'!$F:$F</definedName>
    <definedName name="grad_col">'VOC coefficients'!$E:$E</definedName>
    <definedName name="grad_fuel">'Fuel coefficients'!$E:$E</definedName>
    <definedName name="k_one">'VOC coefficients'!$J:$J</definedName>
    <definedName name="K1_col">'VOC coefficients'!$J$4:$J$332</definedName>
    <definedName name="k1_fuel">'Fuel coefficients'!$J:$J</definedName>
    <definedName name="k1_vol">'VOC coefficients'!$J$4:$J$332</definedName>
    <definedName name="k2_col">'VOC coefficients'!$K:$K</definedName>
    <definedName name="k2_fuel">'Fuel coefficients'!$K:$K</definedName>
    <definedName name="k3_col">'VOC coefficients'!$L:$L</definedName>
    <definedName name="k3_fuel">'Fuel coefficients'!$L:$L</definedName>
    <definedName name="k4_col">'VOC coefficients'!$M:$M</definedName>
    <definedName name="k4_fuel">'Fuel coefficients'!$M:$M</definedName>
    <definedName name="k5_col">'VOC coefficients'!$N:$N</definedName>
    <definedName name="k5_fuel">'Fuel coefficients'!$N:$N</definedName>
    <definedName name="k6_col">'VOC coefficients'!$O:$O</definedName>
    <definedName name="SAPBEXdnldView" hidden="1">"72LBBQ4E3BNXKPNWEQF2AMHPC"</definedName>
    <definedName name="SAPBEXsysID" hidden="1">"DWH"</definedName>
    <definedName name="veh_class">'Fuel coefficients'!$G:$G</definedName>
    <definedName name="veh_class_fuel">'Fuel coefficients'!$G:$G</definedName>
    <definedName name="vehclass_col">'VOC coefficients'!$G:$G</definedName>
  </definedNames>
  <calcPr calcId="191029"/>
  <customWorkbookViews>
    <customWorkbookView name="Millie Skoko - Personal View" guid="{5C6A6B42-DFAF-4739-B7D4-CA7A880613DB}" mergeInterval="0" personalView="1" maximized="1" xWindow="-11" yWindow="-11" windowWidth="2902" windowHeight="1762" tabRatio="90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4" l="1"/>
  <c r="J36" i="4"/>
  <c r="J37" i="4"/>
  <c r="J38" i="4"/>
  <c r="H35" i="4" l="1"/>
  <c r="H36" i="4"/>
  <c r="H37" i="4"/>
  <c r="H38" i="4"/>
  <c r="H17" i="12"/>
  <c r="F18" i="12"/>
  <c r="P125" i="12" s="1"/>
  <c r="H19" i="12"/>
  <c r="F20" i="12"/>
  <c r="H20" i="12" s="1"/>
  <c r="F21" i="12"/>
  <c r="H126" i="12" s="1"/>
  <c r="F22" i="12"/>
  <c r="H22" i="12" s="1"/>
  <c r="F23" i="12"/>
  <c r="H23" i="12" s="1"/>
  <c r="F24" i="12"/>
  <c r="H24" i="12" s="1"/>
  <c r="F25" i="12"/>
  <c r="H25" i="12" s="1"/>
  <c r="F26" i="12"/>
  <c r="H26" i="12" s="1"/>
  <c r="F27" i="12"/>
  <c r="H27" i="12"/>
  <c r="F28" i="12"/>
  <c r="H28" i="12" s="1"/>
  <c r="F29" i="12"/>
  <c r="H29" i="12" s="1"/>
  <c r="F30" i="12"/>
  <c r="H30" i="12" s="1"/>
  <c r="F31" i="12"/>
  <c r="H31" i="12" s="1"/>
  <c r="F32" i="12"/>
  <c r="H32" i="12" s="1"/>
  <c r="F33" i="12"/>
  <c r="H33" i="12" s="1"/>
  <c r="F34" i="12"/>
  <c r="H34" i="12" s="1"/>
  <c r="F35" i="12"/>
  <c r="H35" i="12" s="1"/>
  <c r="F36" i="12"/>
  <c r="H36" i="12" s="1"/>
  <c r="G37" i="12"/>
  <c r="G38" i="12"/>
  <c r="G39" i="12"/>
  <c r="G40" i="12"/>
  <c r="D44" i="12"/>
  <c r="I44" i="12"/>
  <c r="D73" i="12"/>
  <c r="D102" i="12"/>
  <c r="G126" i="12" l="1"/>
  <c r="O126" i="12"/>
  <c r="M126" i="12"/>
  <c r="R126" i="12"/>
  <c r="L126" i="12"/>
  <c r="J126" i="12"/>
  <c r="N128" i="12"/>
  <c r="R127" i="12"/>
  <c r="R98" i="12"/>
  <c r="R125" i="12"/>
  <c r="J128" i="12"/>
  <c r="Q125" i="12"/>
  <c r="G128" i="12"/>
  <c r="N125" i="12"/>
  <c r="F39" i="12"/>
  <c r="H39" i="12" s="1"/>
  <c r="N126" i="12"/>
  <c r="J125" i="12"/>
  <c r="K125" i="12"/>
  <c r="I125" i="12"/>
  <c r="R128" i="12"/>
  <c r="M128" i="12"/>
  <c r="O128" i="12"/>
  <c r="F38" i="12"/>
  <c r="H38" i="12" s="1"/>
  <c r="M98" i="12"/>
  <c r="N98" i="12"/>
  <c r="I127" i="12"/>
  <c r="P98" i="12"/>
  <c r="H98" i="12"/>
  <c r="K127" i="12"/>
  <c r="Q127" i="12"/>
  <c r="P127" i="12"/>
  <c r="H125" i="12"/>
  <c r="K128" i="12"/>
  <c r="O127" i="12"/>
  <c r="G127" i="12"/>
  <c r="K126" i="12"/>
  <c r="O125" i="12"/>
  <c r="G125" i="12"/>
  <c r="L98" i="12"/>
  <c r="F40" i="12"/>
  <c r="H40" i="12" s="1"/>
  <c r="H21" i="12"/>
  <c r="R97" i="12" s="1"/>
  <c r="N127" i="12"/>
  <c r="K98" i="12"/>
  <c r="F37" i="12"/>
  <c r="H37" i="12" s="1"/>
  <c r="I128" i="12"/>
  <c r="M127" i="12"/>
  <c r="Q126" i="12"/>
  <c r="I126" i="12"/>
  <c r="M125" i="12"/>
  <c r="J98" i="12"/>
  <c r="Q128" i="12"/>
  <c r="P128" i="12"/>
  <c r="H128" i="12"/>
  <c r="L127" i="12"/>
  <c r="P126" i="12"/>
  <c r="L125" i="12"/>
  <c r="Q98" i="12"/>
  <c r="I98" i="12"/>
  <c r="J127" i="12"/>
  <c r="O98" i="12"/>
  <c r="G98" i="12"/>
  <c r="H18" i="12"/>
  <c r="L128" i="12"/>
  <c r="H127" i="12"/>
  <c r="L91" i="4"/>
  <c r="K91" i="4"/>
  <c r="J91" i="4"/>
  <c r="I91" i="4"/>
  <c r="H91" i="4"/>
  <c r="G91" i="4"/>
  <c r="M99" i="12" l="1"/>
  <c r="R99" i="12"/>
  <c r="R96" i="12"/>
  <c r="I96" i="12"/>
  <c r="H99" i="12"/>
  <c r="J96" i="12"/>
  <c r="P99" i="12"/>
  <c r="Q99" i="12"/>
  <c r="P96" i="12"/>
  <c r="G96" i="12"/>
  <c r="O96" i="12"/>
  <c r="K99" i="12"/>
  <c r="L99" i="12"/>
  <c r="K96" i="12"/>
  <c r="G99" i="12"/>
  <c r="H96" i="12"/>
  <c r="O99" i="12"/>
  <c r="N96" i="12"/>
  <c r="J99" i="12"/>
  <c r="M96" i="12"/>
  <c r="I99" i="12"/>
  <c r="N99" i="12"/>
  <c r="I97" i="12"/>
  <c r="J97" i="12"/>
  <c r="K97" i="12"/>
  <c r="M97" i="12"/>
  <c r="O97" i="12"/>
  <c r="L97" i="12"/>
  <c r="N97" i="12"/>
  <c r="G97" i="12"/>
  <c r="H97" i="12"/>
  <c r="P97" i="12"/>
  <c r="Q97" i="12"/>
  <c r="L96" i="12"/>
  <c r="Q96" i="12"/>
  <c r="I29" i="4"/>
  <c r="I30" i="4"/>
  <c r="G29" i="4"/>
  <c r="G30" i="4"/>
  <c r="H30" i="4" l="1"/>
  <c r="H39" i="4"/>
  <c r="J30" i="4"/>
  <c r="L73" i="4" l="1"/>
  <c r="L74" i="4"/>
  <c r="L75" i="4"/>
  <c r="L76" i="4"/>
  <c r="L77" i="4"/>
  <c r="L78" i="4"/>
  <c r="L79" i="4"/>
  <c r="L80" i="4"/>
  <c r="L81" i="4"/>
  <c r="L82" i="4"/>
  <c r="L83" i="4"/>
  <c r="L84" i="4"/>
  <c r="L85" i="4"/>
  <c r="L86" i="4"/>
  <c r="L87" i="4"/>
  <c r="L88" i="4"/>
  <c r="L89" i="4"/>
  <c r="L90" i="4"/>
  <c r="L72" i="4"/>
  <c r="K73" i="4"/>
  <c r="K74" i="4"/>
  <c r="K75" i="4"/>
  <c r="K76" i="4"/>
  <c r="K77" i="4"/>
  <c r="K78" i="4"/>
  <c r="K79" i="4"/>
  <c r="K80" i="4"/>
  <c r="K81" i="4"/>
  <c r="K82" i="4"/>
  <c r="K83" i="4"/>
  <c r="K84" i="4"/>
  <c r="K85" i="4"/>
  <c r="K86" i="4"/>
  <c r="K87" i="4"/>
  <c r="K88" i="4"/>
  <c r="K89" i="4"/>
  <c r="K90" i="4"/>
  <c r="K72" i="4"/>
  <c r="J73" i="4"/>
  <c r="J74" i="4"/>
  <c r="J75" i="4"/>
  <c r="J76" i="4"/>
  <c r="J77" i="4"/>
  <c r="J78" i="4"/>
  <c r="J79" i="4"/>
  <c r="J80" i="4"/>
  <c r="J81" i="4"/>
  <c r="J82" i="4"/>
  <c r="J83" i="4"/>
  <c r="J84" i="4"/>
  <c r="J85" i="4"/>
  <c r="J86" i="4"/>
  <c r="J87" i="4"/>
  <c r="J88" i="4"/>
  <c r="J89" i="4"/>
  <c r="J90" i="4"/>
  <c r="J72" i="4"/>
  <c r="I73" i="4"/>
  <c r="I74" i="4"/>
  <c r="I75" i="4"/>
  <c r="I76" i="4"/>
  <c r="I77" i="4"/>
  <c r="I78" i="4"/>
  <c r="I79" i="4"/>
  <c r="I80" i="4"/>
  <c r="I81" i="4"/>
  <c r="I82" i="4"/>
  <c r="I83" i="4"/>
  <c r="I84" i="4"/>
  <c r="I85" i="4"/>
  <c r="I86" i="4"/>
  <c r="I87" i="4"/>
  <c r="I88" i="4"/>
  <c r="I89" i="4"/>
  <c r="I90" i="4"/>
  <c r="I72" i="4"/>
  <c r="H73" i="4"/>
  <c r="H74" i="4"/>
  <c r="H75" i="4"/>
  <c r="H76" i="4"/>
  <c r="H77" i="4"/>
  <c r="H78" i="4"/>
  <c r="H79" i="4"/>
  <c r="H80" i="4"/>
  <c r="H81" i="4"/>
  <c r="H82" i="4"/>
  <c r="H83" i="4"/>
  <c r="H84" i="4"/>
  <c r="H85" i="4"/>
  <c r="H86" i="4"/>
  <c r="H87" i="4"/>
  <c r="H88" i="4"/>
  <c r="H89" i="4"/>
  <c r="H90" i="4"/>
  <c r="H72" i="4"/>
  <c r="G76" i="4"/>
  <c r="G77" i="4"/>
  <c r="G78" i="4"/>
  <c r="G79" i="4"/>
  <c r="G80" i="4"/>
  <c r="G81" i="4"/>
  <c r="G82" i="4"/>
  <c r="G83" i="4"/>
  <c r="G84" i="4"/>
  <c r="G85" i="4"/>
  <c r="G86" i="4"/>
  <c r="G87" i="4"/>
  <c r="G88" i="4"/>
  <c r="G89" i="4"/>
  <c r="G90" i="4"/>
  <c r="G73" i="4"/>
  <c r="G74" i="4"/>
  <c r="G75" i="4"/>
  <c r="G72" i="4"/>
  <c r="H45" i="4"/>
  <c r="H46" i="4"/>
  <c r="H47" i="4"/>
  <c r="H48" i="4"/>
  <c r="H49" i="4"/>
  <c r="H50" i="4"/>
  <c r="H51" i="4"/>
  <c r="H52" i="4"/>
  <c r="H53" i="4"/>
  <c r="H54" i="4"/>
  <c r="H55" i="4"/>
  <c r="H56" i="4"/>
  <c r="H57" i="4"/>
  <c r="H58" i="4"/>
  <c r="H59" i="4"/>
  <c r="H60" i="4"/>
  <c r="H61" i="4"/>
  <c r="H62" i="4"/>
  <c r="H63" i="4"/>
  <c r="H44" i="4"/>
  <c r="M45" i="4"/>
  <c r="M46" i="4"/>
  <c r="M47" i="4"/>
  <c r="M48" i="4"/>
  <c r="M49" i="4"/>
  <c r="M50" i="4"/>
  <c r="M51" i="4"/>
  <c r="M52" i="4"/>
  <c r="M53" i="4"/>
  <c r="M54" i="4"/>
  <c r="M55" i="4"/>
  <c r="M56" i="4"/>
  <c r="M57" i="4"/>
  <c r="M58" i="4"/>
  <c r="M59" i="4"/>
  <c r="M60" i="4"/>
  <c r="M61" i="4"/>
  <c r="M62" i="4"/>
  <c r="M63" i="4"/>
  <c r="M44" i="4"/>
  <c r="L45" i="4"/>
  <c r="L46" i="4"/>
  <c r="L47" i="4"/>
  <c r="L48" i="4"/>
  <c r="L49" i="4"/>
  <c r="L50" i="4"/>
  <c r="L51" i="4"/>
  <c r="L52" i="4"/>
  <c r="L53" i="4"/>
  <c r="L54" i="4"/>
  <c r="L55" i="4"/>
  <c r="L56" i="4"/>
  <c r="L57" i="4"/>
  <c r="L58" i="4"/>
  <c r="L59" i="4"/>
  <c r="L60" i="4"/>
  <c r="L61" i="4"/>
  <c r="L62" i="4"/>
  <c r="L63" i="4"/>
  <c r="L44" i="4"/>
  <c r="K45" i="4"/>
  <c r="K46" i="4"/>
  <c r="K47" i="4"/>
  <c r="K48" i="4"/>
  <c r="K49" i="4"/>
  <c r="K50" i="4"/>
  <c r="K51" i="4"/>
  <c r="K52" i="4"/>
  <c r="K53" i="4"/>
  <c r="K54" i="4"/>
  <c r="K55" i="4"/>
  <c r="K56" i="4"/>
  <c r="K57" i="4"/>
  <c r="K58" i="4"/>
  <c r="K59" i="4"/>
  <c r="K60" i="4"/>
  <c r="K61" i="4"/>
  <c r="K62" i="4"/>
  <c r="K63" i="4"/>
  <c r="K44" i="4"/>
  <c r="J45" i="4"/>
  <c r="J46" i="4"/>
  <c r="J47" i="4"/>
  <c r="J48" i="4"/>
  <c r="J49" i="4"/>
  <c r="J50" i="4"/>
  <c r="J51" i="4"/>
  <c r="J52" i="4"/>
  <c r="J53" i="4"/>
  <c r="J54" i="4"/>
  <c r="J55" i="4"/>
  <c r="J56" i="4"/>
  <c r="J57" i="4"/>
  <c r="J58" i="4"/>
  <c r="J59" i="4"/>
  <c r="J60" i="4"/>
  <c r="J61" i="4"/>
  <c r="J62" i="4"/>
  <c r="J63" i="4"/>
  <c r="J44" i="4"/>
  <c r="I45" i="4"/>
  <c r="I46" i="4"/>
  <c r="I47" i="4"/>
  <c r="I48" i="4"/>
  <c r="I49" i="4"/>
  <c r="I50" i="4"/>
  <c r="I51" i="4"/>
  <c r="I52" i="4"/>
  <c r="I53" i="4"/>
  <c r="I54" i="4"/>
  <c r="I55" i="4"/>
  <c r="I56" i="4"/>
  <c r="I57" i="4"/>
  <c r="I58" i="4"/>
  <c r="I59" i="4"/>
  <c r="I60" i="4"/>
  <c r="I61" i="4"/>
  <c r="I62" i="4"/>
  <c r="I63" i="4"/>
  <c r="I44" i="4"/>
  <c r="G45" i="4"/>
  <c r="G46" i="4"/>
  <c r="G47" i="4"/>
  <c r="G48" i="4"/>
  <c r="G49" i="4"/>
  <c r="G50" i="4"/>
  <c r="G51" i="4"/>
  <c r="G52" i="4"/>
  <c r="G53" i="4"/>
  <c r="G54" i="4"/>
  <c r="G55" i="4"/>
  <c r="G56" i="4"/>
  <c r="G57" i="4"/>
  <c r="G58" i="4"/>
  <c r="G59" i="4"/>
  <c r="G60" i="4"/>
  <c r="G61" i="4"/>
  <c r="G62" i="4"/>
  <c r="G63" i="4"/>
  <c r="G44" i="4"/>
  <c r="D3" i="8" l="1"/>
  <c r="D4" i="8"/>
  <c r="D5" i="8"/>
  <c r="D6" i="8"/>
  <c r="D7" i="8"/>
  <c r="D2" i="8"/>
  <c r="I31" i="4" l="1"/>
  <c r="J31" i="4" s="1"/>
  <c r="I32" i="4"/>
  <c r="J32" i="4" s="1"/>
  <c r="I33" i="4"/>
  <c r="J33" i="4" s="1"/>
  <c r="I34" i="4"/>
  <c r="J34" i="4" s="1"/>
  <c r="J39" i="4"/>
  <c r="G31" i="4"/>
  <c r="H31" i="4" s="1"/>
  <c r="G32" i="4"/>
  <c r="H32" i="4" s="1"/>
  <c r="G33" i="4"/>
  <c r="H33" i="4" s="1"/>
  <c r="G34" i="4"/>
  <c r="H34" i="4" s="1"/>
  <c r="K5" i="4" l="1"/>
  <c r="J25" i="4"/>
  <c r="J24" i="4"/>
  <c r="J23" i="4"/>
  <c r="J22" i="4"/>
  <c r="J21" i="4"/>
  <c r="J20" i="4"/>
  <c r="J19" i="4"/>
  <c r="J18" i="4"/>
  <c r="J17" i="4"/>
  <c r="J16" i="4"/>
  <c r="J15" i="4"/>
  <c r="J14" i="4"/>
  <c r="J13" i="4"/>
  <c r="J12" i="4"/>
  <c r="J11" i="4"/>
  <c r="J10" i="4"/>
  <c r="J9" i="4"/>
  <c r="J8" i="4"/>
  <c r="J7" i="4"/>
  <c r="J6" i="4"/>
  <c r="I7" i="4" l="1"/>
  <c r="K7" i="4" s="1"/>
  <c r="I13" i="4"/>
  <c r="K13" i="4" s="1"/>
  <c r="I17" i="4"/>
  <c r="K17" i="4" s="1"/>
  <c r="I24" i="4"/>
  <c r="K24" i="4" s="1"/>
  <c r="I22" i="4"/>
  <c r="K22" i="4" s="1"/>
  <c r="I23" i="4"/>
  <c r="K23" i="4" s="1"/>
  <c r="I8" i="4"/>
  <c r="K8" i="4" s="1"/>
  <c r="I20" i="4"/>
  <c r="K20" i="4" s="1"/>
  <c r="I6" i="4"/>
  <c r="K6" i="4" s="1"/>
  <c r="I25" i="4"/>
  <c r="K25" i="4" s="1"/>
  <c r="I11" i="4"/>
  <c r="K11" i="4" s="1"/>
  <c r="I16" i="4"/>
  <c r="K16" i="4" s="1"/>
  <c r="I15" i="4"/>
  <c r="K15" i="4" s="1"/>
  <c r="I10" i="4"/>
  <c r="K10" i="4" s="1"/>
  <c r="I14" i="4"/>
  <c r="K14" i="4" s="1"/>
  <c r="I12" i="4"/>
  <c r="K12" i="4" s="1"/>
  <c r="I21" i="4"/>
  <c r="K21" i="4" s="1"/>
  <c r="I9" i="4"/>
  <c r="K9" i="4" s="1"/>
  <c r="I18" i="4"/>
  <c r="K18" i="4" s="1"/>
  <c r="I19" i="4"/>
  <c r="K19" i="4" s="1"/>
  <c r="F118" i="12" l="1"/>
  <c r="K59" i="12" s="1"/>
  <c r="F89" i="12"/>
  <c r="F59" i="12" s="1"/>
  <c r="F123" i="12"/>
  <c r="K64" i="12" s="1"/>
  <c r="F94" i="12"/>
  <c r="F64" i="12" s="1"/>
  <c r="F110" i="12"/>
  <c r="F81" i="12"/>
  <c r="F79" i="12"/>
  <c r="F108" i="12"/>
  <c r="F83" i="12"/>
  <c r="F53" i="12" s="1"/>
  <c r="F112" i="12"/>
  <c r="K53" i="12" s="1"/>
  <c r="F76" i="12"/>
  <c r="F105" i="12"/>
  <c r="F82" i="12"/>
  <c r="F52" i="12" s="1"/>
  <c r="F111" i="12"/>
  <c r="K52" i="12" s="1"/>
  <c r="F90" i="12"/>
  <c r="F60" i="12" s="1"/>
  <c r="F119" i="12"/>
  <c r="K60" i="12" s="1"/>
  <c r="F115" i="12"/>
  <c r="K56" i="12" s="1"/>
  <c r="F86" i="12"/>
  <c r="F56" i="12" s="1"/>
  <c r="F117" i="12"/>
  <c r="K58" i="12" s="1"/>
  <c r="F88" i="12"/>
  <c r="F58" i="12" s="1"/>
  <c r="F116" i="12"/>
  <c r="K57" i="12" s="1"/>
  <c r="F87" i="12"/>
  <c r="F57" i="12" s="1"/>
  <c r="F124" i="12"/>
  <c r="K65" i="12" s="1"/>
  <c r="F95" i="12"/>
  <c r="F65" i="12" s="1"/>
  <c r="F120" i="12"/>
  <c r="K61" i="12" s="1"/>
  <c r="F91" i="12"/>
  <c r="F61" i="12" s="1"/>
  <c r="F77" i="12"/>
  <c r="F47" i="12" s="1"/>
  <c r="F106" i="12"/>
  <c r="K47" i="12" s="1"/>
  <c r="F84" i="12"/>
  <c r="F54" i="12" s="1"/>
  <c r="F113" i="12"/>
  <c r="K54" i="12" s="1"/>
  <c r="F78" i="12"/>
  <c r="F48" i="12" s="1"/>
  <c r="F107" i="12"/>
  <c r="K48" i="12" s="1"/>
  <c r="F109" i="12"/>
  <c r="K50" i="12" s="1"/>
  <c r="F80" i="12"/>
  <c r="F50" i="12" s="1"/>
  <c r="F122" i="12"/>
  <c r="K63" i="12" s="1"/>
  <c r="F93" i="12"/>
  <c r="F63" i="12" s="1"/>
  <c r="F114" i="12"/>
  <c r="K55" i="12" s="1"/>
  <c r="F85" i="12"/>
  <c r="F55" i="12" s="1"/>
  <c r="F92" i="12"/>
  <c r="F62" i="12" s="1"/>
  <c r="F121" i="12"/>
  <c r="K62" i="12" s="1"/>
  <c r="K49" i="12" l="1"/>
  <c r="K67" i="12" s="1"/>
  <c r="F126" i="12"/>
  <c r="F46" i="12"/>
  <c r="F99" i="12"/>
  <c r="F96" i="12"/>
  <c r="F51" i="12"/>
  <c r="F68" i="12" s="1"/>
  <c r="F98" i="12"/>
  <c r="F127" i="12"/>
  <c r="K51" i="12"/>
  <c r="K68" i="12" s="1"/>
  <c r="F49" i="12"/>
  <c r="F67" i="12" s="1"/>
  <c r="F97" i="12"/>
  <c r="F128" i="12"/>
  <c r="F125" i="12"/>
  <c r="K46" i="12"/>
  <c r="K66" i="12" l="1"/>
  <c r="K69" i="12"/>
  <c r="F69" i="12"/>
  <c r="F6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6" authorId="0" shapeId="0" xr:uid="{00000000-0006-0000-0400-000001000000}">
      <text>
        <r>
          <rPr>
            <sz val="9"/>
            <color indexed="81"/>
            <rFont val="Tahoma"/>
            <family val="2"/>
          </rPr>
          <t>Refers to series collected at quarterly and lesser frequencies only.
Indicates which month in the collection period the data refers to.</t>
        </r>
      </text>
    </comment>
  </commentList>
</comments>
</file>

<file path=xl/sharedStrings.xml><?xml version="1.0" encoding="utf-8"?>
<sst xmlns="http://schemas.openxmlformats.org/spreadsheetml/2006/main" count="1232" uniqueCount="197">
  <si>
    <t>01. Small Car</t>
  </si>
  <si>
    <t>02. Medium Car</t>
  </si>
  <si>
    <t>03. Large Car</t>
  </si>
  <si>
    <t>04. Courier Van-Utility</t>
  </si>
  <si>
    <t>05. 4WD Mid Size Petrol</t>
  </si>
  <si>
    <t>06. Light Rigid</t>
  </si>
  <si>
    <t>07. Medium Rigid</t>
  </si>
  <si>
    <t>08. Heavy Rigid</t>
  </si>
  <si>
    <t xml:space="preserve">09. Heavy Bus </t>
  </si>
  <si>
    <t xml:space="preserve">10. Artic 4 Axle </t>
  </si>
  <si>
    <t xml:space="preserve">11. Artic 5 Axle </t>
  </si>
  <si>
    <t>12. Artic 6 Axle</t>
  </si>
  <si>
    <t xml:space="preserve">13. Rigid + 5 Axle Dog </t>
  </si>
  <si>
    <t>Vehicle Class</t>
  </si>
  <si>
    <t>14. B-Double</t>
  </si>
  <si>
    <t>15. Twin steer + 5 Axle Dog</t>
  </si>
  <si>
    <t>16. A-Double</t>
  </si>
  <si>
    <t>17. B Triple</t>
  </si>
  <si>
    <t>18. A B Combination</t>
  </si>
  <si>
    <t>19. A-Triple</t>
  </si>
  <si>
    <t>20. Double B-Double</t>
  </si>
  <si>
    <t>Gradient</t>
  </si>
  <si>
    <t>Curvature</t>
  </si>
  <si>
    <t>IRI</t>
  </si>
  <si>
    <t>GCM(t)</t>
  </si>
  <si>
    <t>Maximum payload (t)</t>
  </si>
  <si>
    <t>GVM</t>
  </si>
  <si>
    <t>Base VOC</t>
  </si>
  <si>
    <t>K1</t>
  </si>
  <si>
    <t>K2</t>
  </si>
  <si>
    <t>K3</t>
  </si>
  <si>
    <t>K4</t>
  </si>
  <si>
    <t>K5</t>
  </si>
  <si>
    <t>K6</t>
  </si>
  <si>
    <t>Payload</t>
  </si>
  <si>
    <t>Percentage</t>
  </si>
  <si>
    <t>Date</t>
  </si>
  <si>
    <t xml:space="preserve">Gradient </t>
  </si>
  <si>
    <t xml:space="preserve">Curvature </t>
  </si>
  <si>
    <t>Index Numbers ;  Private motoring ;  Australia ;</t>
  </si>
  <si>
    <t>Index Numbers</t>
  </si>
  <si>
    <t>Original</t>
  </si>
  <si>
    <t>INDEX</t>
  </si>
  <si>
    <t>Quarter</t>
  </si>
  <si>
    <t>A2326656J</t>
  </si>
  <si>
    <t>Unit</t>
  </si>
  <si>
    <t>Series Type</t>
  </si>
  <si>
    <t>Data Type</t>
  </si>
  <si>
    <t>Frequency</t>
  </si>
  <si>
    <t>Collection Month</t>
  </si>
  <si>
    <t>Series Start</t>
  </si>
  <si>
    <t>Series End</t>
  </si>
  <si>
    <t>No. Obs</t>
  </si>
  <si>
    <t>Series ID</t>
  </si>
  <si>
    <t>2014-15</t>
  </si>
  <si>
    <t>2015-16</t>
  </si>
  <si>
    <t>2016-17</t>
  </si>
  <si>
    <t>2017-18</t>
  </si>
  <si>
    <t>2018-19</t>
  </si>
  <si>
    <t>Transport for NSW</t>
  </si>
  <si>
    <t>A. Inputs</t>
  </si>
  <si>
    <t>20. B-Double</t>
  </si>
  <si>
    <t>EconomicAdvisory@transport.nsw.gov.au</t>
  </si>
  <si>
    <t>Table 4: Lists</t>
  </si>
  <si>
    <t>Table 2: Indexation of VOCs</t>
  </si>
  <si>
    <t>Table 1 :Payload</t>
  </si>
  <si>
    <t>Price year</t>
  </si>
  <si>
    <t>#</t>
  </si>
  <si>
    <t>Select/fill inputs corresponding to road characteristics:</t>
  </si>
  <si>
    <t>Speed (km per hour)</t>
  </si>
  <si>
    <t>Australian Transport Assessment and Planning PV2 Road Parameter Values (2016)</t>
  </si>
  <si>
    <t>Scale</t>
  </si>
  <si>
    <t>Maintained unpaved roads</t>
  </si>
  <si>
    <t>Damaged pavements</t>
  </si>
  <si>
    <t>Rough unpaved roads</t>
  </si>
  <si>
    <t>Airport runways &amp; superhighways</t>
  </si>
  <si>
    <t>New pavements</t>
  </si>
  <si>
    <t>low</t>
  </si>
  <si>
    <t>high</t>
  </si>
  <si>
    <t>Older pavements</t>
  </si>
  <si>
    <t>difference</t>
  </si>
  <si>
    <t xml:space="preserve">Figure 1: Approximate ranges of the International Roughness Index </t>
  </si>
  <si>
    <t>Source: Sayer, M., Gillespie, T. &amp; Paterson, W. (1986) Guidelines for Conducing and Calibrating Road Roughness Measurements. World Bank Tehcnical Paper Number 46. Viewed at 21/8/2019 http://documents.worldbank.org/curated/en/851131468160775725/pdf/multi-page.pdf</t>
  </si>
  <si>
    <t>Gradient %</t>
  </si>
  <si>
    <t>Curvature %/km</t>
  </si>
  <si>
    <t>Base Fuel</t>
  </si>
  <si>
    <t>Curvature degrees /km</t>
  </si>
  <si>
    <t xml:space="preserve">Table 3: Coefficients for the Rural VOC model </t>
  </si>
  <si>
    <t>Table 5: Coefficents for the fuel consumption model</t>
  </si>
  <si>
    <t>B. Rural VOC model results</t>
  </si>
  <si>
    <t>Austroads vehicle class</t>
  </si>
  <si>
    <t>Fuel consumption model coefficients</t>
  </si>
  <si>
    <t xml:space="preserve">CPI- private motoring </t>
  </si>
  <si>
    <t>PPI - road freight</t>
  </si>
  <si>
    <t>Base fuel</t>
  </si>
  <si>
    <t>Vehicle class</t>
  </si>
  <si>
    <t>Additional tables</t>
  </si>
  <si>
    <t>Vehicle operating cost model coefficients</t>
  </si>
  <si>
    <t>User guide</t>
  </si>
  <si>
    <t>A. User Instructions</t>
  </si>
  <si>
    <t>C. Functional form of the ATAP rural VOC model</t>
  </si>
  <si>
    <t>D. Functional form of the ATAP fuel consumption model</t>
  </si>
  <si>
    <t>E. Additional Notes</t>
  </si>
  <si>
    <t>cents per km</t>
  </si>
  <si>
    <t>litres per 100km</t>
  </si>
  <si>
    <t xml:space="preserve">C. Fuel consumption model results </t>
  </si>
  <si>
    <t>2013-14</t>
  </si>
  <si>
    <t>2012-13</t>
  </si>
  <si>
    <t>For questions or comments please email:</t>
  </si>
  <si>
    <t>Results by vehicle type can be found in 'B. Rural VOC Model results' and 'C. Fuel Consumption Model results'</t>
  </si>
  <si>
    <t>D. Rural VOC model look up table (cents per km)</t>
  </si>
  <si>
    <t>E. Rural VOC model look up table (litres per 100 km)</t>
  </si>
  <si>
    <t>Tables with different speeds can be found in 'D. Rural VOC model look up table (cents per km)' and 'E Rural VOC model look up table (litres per 100km)'</t>
  </si>
  <si>
    <t xml:space="preserve">The IRI is a roughness measurement. Figure 1 shows the approximate range of IRI roughness on different types of roads. </t>
  </si>
  <si>
    <t xml:space="preserve">This Excel tool estimates vehicle operating costs (VOCs) for vehicles travelling on rural roads. This Excel tool has been developed by Transport for NSW; and it is based on a model developed by Australian Transport Assessment and Planning. It allows the user to select input data then calculates an estimate of VOCs. This Excel tool accompanies Appendix C of the TfNSW Economic Parameter Value document. </t>
  </si>
  <si>
    <t>In the "Calculator" tab select the speed, international roughness index (IRI), gradient, curvature, payload and base year</t>
  </si>
  <si>
    <t>The prices in this tool have been inflated using the CPI for private motoring in Sydney (ABS ID A2326616R) rather than the CPI for private motoring in Australia (ABS ID A2326656J), this deviates from the advice given in the link above.</t>
  </si>
  <si>
    <t>PPI</t>
  </si>
  <si>
    <t>Small Car</t>
  </si>
  <si>
    <t>Medium Car</t>
  </si>
  <si>
    <t>Large Car</t>
  </si>
  <si>
    <t>Light Rigid</t>
  </si>
  <si>
    <t>Medium Rigid</t>
  </si>
  <si>
    <t>Heavy Rigid</t>
  </si>
  <si>
    <t>4 Axle</t>
  </si>
  <si>
    <t>5 Axle</t>
  </si>
  <si>
    <t>6 Axle</t>
  </si>
  <si>
    <t>Vehicle type</t>
  </si>
  <si>
    <t>Cars (all types)</t>
  </si>
  <si>
    <t xml:space="preserve">  Cars</t>
  </si>
  <si>
    <t>Utility vehicles</t>
  </si>
  <si>
    <t xml:space="preserve">  Courier van utility</t>
  </si>
  <si>
    <t xml:space="preserve">  4WD Mid-Size Petrol</t>
  </si>
  <si>
    <t>Rigid trucks</t>
  </si>
  <si>
    <t xml:space="preserve">  Light Rigid (previously LCV 2 axle-4tyre)</t>
  </si>
  <si>
    <t xml:space="preserve">  Medium Rigid (previously 2 axle-6 tyre)</t>
  </si>
  <si>
    <t xml:space="preserve">  Heavy Rigid (previously 3 axle)</t>
  </si>
  <si>
    <t>Articulated trucks</t>
  </si>
  <si>
    <t xml:space="preserve">  4 axle</t>
  </si>
  <si>
    <t xml:space="preserve">  5 axle</t>
  </si>
  <si>
    <t xml:space="preserve">  6 axle</t>
  </si>
  <si>
    <t>Combination vehicles</t>
  </si>
  <si>
    <t xml:space="preserve">  Rigid + 5 Axle Dog</t>
  </si>
  <si>
    <t xml:space="preserve">  B-Double</t>
  </si>
  <si>
    <t xml:space="preserve">  Twin steer + 5 Axle Dog</t>
  </si>
  <si>
    <t xml:space="preserve">  A-Double</t>
  </si>
  <si>
    <t xml:space="preserve">  B-Triple</t>
  </si>
  <si>
    <t xml:space="preserve">  A B combination</t>
  </si>
  <si>
    <t xml:space="preserve">  A-Triple</t>
  </si>
  <si>
    <t>Buses</t>
  </si>
  <si>
    <t xml:space="preserve">  Heavy Bus</t>
  </si>
  <si>
    <t>Car</t>
  </si>
  <si>
    <t>LCV</t>
  </si>
  <si>
    <t>HCV</t>
  </si>
  <si>
    <t>Total</t>
  </si>
  <si>
    <t>Courier van utility</t>
  </si>
  <si>
    <t>4WD mid-size petrol</t>
  </si>
  <si>
    <t>Vehicle mix</t>
  </si>
  <si>
    <t>Vehicle</t>
  </si>
  <si>
    <t>User input</t>
  </si>
  <si>
    <t>TOTAL</t>
  </si>
  <si>
    <t>Standard</t>
  </si>
  <si>
    <t>Speed km/h</t>
  </si>
  <si>
    <t>Urban</t>
  </si>
  <si>
    <t>Rural</t>
  </si>
  <si>
    <t>Overall</t>
  </si>
  <si>
    <t>B. Excel tool description</t>
  </si>
  <si>
    <t>Table 5: Vehicle Mix</t>
  </si>
  <si>
    <t>Rural Vehicle Operating Cost &amp; Fuel Consumption Calculator</t>
  </si>
  <si>
    <t>Source: ABS (Series ID A2326616R; A2314058K)</t>
  </si>
  <si>
    <t>Calculator</t>
  </si>
  <si>
    <t>Choose the base price year of the CBA</t>
  </si>
  <si>
    <t>Choose between 'standard' weighted vehicle mix for rural roads or a user-defined vehicle mix and fill in the weights in E17 to E36</t>
  </si>
  <si>
    <t>Updates:</t>
  </si>
  <si>
    <t>Previous updates:</t>
  </si>
  <si>
    <t>Further information on the model can be found in:</t>
  </si>
  <si>
    <r>
      <t xml:space="preserve">Data in the </t>
    </r>
    <r>
      <rPr>
        <b/>
        <sz val="11"/>
        <color theme="0" tint="-0.499984740745262"/>
        <rFont val="Arial"/>
        <family val="2"/>
      </rPr>
      <t>grey</t>
    </r>
    <r>
      <rPr>
        <sz val="11"/>
        <rFont val="Arial"/>
        <family val="2"/>
      </rPr>
      <t xml:space="preserve"> and </t>
    </r>
    <r>
      <rPr>
        <b/>
        <sz val="11"/>
        <color rgb="FF64CCC9"/>
        <rFont val="Arial"/>
        <family val="2"/>
      </rPr>
      <t>marine</t>
    </r>
    <r>
      <rPr>
        <sz val="11"/>
        <rFont val="Arial"/>
        <family val="2"/>
      </rPr>
      <t xml:space="preserve"> cells can be updated</t>
    </r>
  </si>
  <si>
    <t>Cells in grey can changed to any value</t>
  </si>
  <si>
    <t>Marine cells can be selected from a drop down list</t>
  </si>
  <si>
    <t>Rigid + 5 Axle Dog</t>
  </si>
  <si>
    <t>B-Double</t>
  </si>
  <si>
    <t>Twin steer + 5 Axle Dog</t>
  </si>
  <si>
    <t>A-Double</t>
  </si>
  <si>
    <t>B Triple</t>
  </si>
  <si>
    <t>A B Combination</t>
  </si>
  <si>
    <t>A-Triple</t>
  </si>
  <si>
    <t>Double B-Double</t>
  </si>
  <si>
    <t>Adjustment to user inputs for vehicle mix</t>
  </si>
  <si>
    <t xml:space="preserve"> Fill payload input based on freight characteristics (75% is the standard value and reflects dead running)</t>
  </si>
  <si>
    <t>2019-20</t>
  </si>
  <si>
    <t>2020-21</t>
  </si>
  <si>
    <t>2021-22</t>
  </si>
  <si>
    <t>Updated indicies to current year</t>
  </si>
  <si>
    <t>Added VOC model selection guide</t>
  </si>
  <si>
    <t>Economic Advisory</t>
  </si>
  <si>
    <t>Finance &amp; Investment Division</t>
  </si>
  <si>
    <t>Version 3.0 -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</si>
</sst>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yyyy"/>
    <numFmt numFmtId="165" formatCode="0.0000"/>
    <numFmt numFmtId="166" formatCode="#,##0_)\ ;[Red]\(#,##0\);&quot;- &quot;\ "/>
    <numFmt numFmtId="167" formatCode="#,##0;\(#,##0\)"/>
    <numFmt numFmtId="168" formatCode="&quot;$&quot;#,##0.00;\(&quot;$&quot;#,##0.00\)"/>
    <numFmt numFmtId="169" formatCode="d\-mmm\-yyyy"/>
    <numFmt numFmtId="170" formatCode="_-* #,##0.00_-;\(#,##0.00\);_-* &quot;-&quot;??_-;_-@_-"/>
    <numFmt numFmtId="171" formatCode="0.00_)"/>
    <numFmt numFmtId="172" formatCode="0.00%;\(0.00%\)"/>
    <numFmt numFmtId="173" formatCode="_-* #,##0_-;[Red]\(\ #,##0\);_-* &quot;-&quot;??_-;_-@_-"/>
    <numFmt numFmtId="174" formatCode="[$$-C09]#,##0.00;[Red]&quot;-&quot;[$$-C09]#,##0.00"/>
    <numFmt numFmtId="175" formatCode="[$-C09]dddd\,\ d\ mmmm\ yyyy;@"/>
    <numFmt numFmtId="176" formatCode="0.000000"/>
    <numFmt numFmtId="177" formatCode="_-* #,##0.0_-;\-* #,##0.0_-;_-* &quot;-&quot;??_-;_-@_-"/>
    <numFmt numFmtId="178" formatCode="_-* #,##0_-;\-* #,##0_-;_-* &quot;-&quot;??_-;_-@_-"/>
    <numFmt numFmtId="179" formatCode="0.0%"/>
  </numFmts>
  <fonts count="102">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u/>
      <sz val="11"/>
      <color theme="10"/>
      <name val="Calibri"/>
      <family val="2"/>
    </font>
    <font>
      <sz val="12"/>
      <name val="Times New Roman"/>
      <family val="1"/>
    </font>
    <font>
      <sz val="10"/>
      <color indexed="12"/>
      <name val="Times New Roman"/>
      <family val="1"/>
    </font>
    <font>
      <sz val="10"/>
      <color indexed="12"/>
      <name val="Arial Narrow"/>
      <family val="2"/>
    </font>
    <font>
      <sz val="10"/>
      <name val="Arial Narrow"/>
      <family val="2"/>
    </font>
    <font>
      <b/>
      <sz val="12"/>
      <color indexed="9"/>
      <name val="Arial"/>
      <family val="2"/>
    </font>
    <font>
      <b/>
      <sz val="10"/>
      <color indexed="9"/>
      <name val="Arial"/>
      <family val="2"/>
    </font>
    <font>
      <b/>
      <i/>
      <sz val="16"/>
      <name val="Helv"/>
    </font>
    <font>
      <sz val="10"/>
      <name val="Courier"/>
      <family val="1"/>
    </font>
    <font>
      <u/>
      <sz val="10"/>
      <name val="Arial Narrow"/>
      <family val="2"/>
    </font>
    <font>
      <b/>
      <i/>
      <sz val="14"/>
      <color indexed="9"/>
      <name val="Times New Roman"/>
      <family val="1"/>
    </font>
    <font>
      <b/>
      <sz val="10"/>
      <name val="Arial Narrow"/>
      <family val="2"/>
    </font>
    <font>
      <sz val="10"/>
      <color indexed="10"/>
      <name val="Arial Narrow"/>
      <family val="2"/>
    </font>
    <font>
      <u/>
      <sz val="10"/>
      <color indexed="12"/>
      <name val="Arial"/>
      <family val="2"/>
    </font>
    <font>
      <b/>
      <sz val="10"/>
      <name val="Arial"/>
      <family val="2"/>
    </font>
    <font>
      <u/>
      <sz val="11"/>
      <color theme="10"/>
      <name val="Arial"/>
      <family val="2"/>
    </font>
    <font>
      <b/>
      <sz val="14"/>
      <name val="Arial"/>
      <family val="2"/>
    </font>
    <font>
      <b/>
      <i/>
      <sz val="16"/>
      <color rgb="FF000000"/>
      <name val="Arial"/>
      <family val="2"/>
    </font>
    <font>
      <b/>
      <i/>
      <u/>
      <sz val="10"/>
      <color rgb="FF000000"/>
      <name val="Arial"/>
      <family val="2"/>
    </font>
    <font>
      <sz val="8"/>
      <color theme="1"/>
      <name val="Arial"/>
      <family val="2"/>
    </font>
    <font>
      <b/>
      <sz val="8"/>
      <color theme="1"/>
      <name val="Arial"/>
      <family val="2"/>
    </font>
    <font>
      <sz val="9"/>
      <color indexed="81"/>
      <name val="Tahoma"/>
      <family val="2"/>
    </font>
    <font>
      <i/>
      <sz val="10"/>
      <name val="Cambria"/>
      <family val="1"/>
    </font>
    <font>
      <sz val="11"/>
      <color theme="1"/>
      <name val="Cambria (body)"/>
    </font>
    <font>
      <b/>
      <sz val="36"/>
      <color theme="3" tint="-0.499984740745262"/>
      <name val="Arial"/>
      <family val="2"/>
    </font>
    <font>
      <sz val="10"/>
      <color theme="1"/>
      <name val="Arial"/>
      <family val="2"/>
    </font>
    <font>
      <b/>
      <i/>
      <sz val="11"/>
      <color theme="0" tint="-0.14999847407452621"/>
      <name val="Arial"/>
      <family val="2"/>
    </font>
    <font>
      <sz val="11"/>
      <name val="Arial"/>
      <family val="2"/>
    </font>
    <font>
      <b/>
      <i/>
      <sz val="11"/>
      <name val="Arial"/>
      <family val="2"/>
    </font>
    <font>
      <u/>
      <sz val="11"/>
      <name val="Arial"/>
      <family val="2"/>
    </font>
    <font>
      <b/>
      <sz val="11"/>
      <color theme="1"/>
      <name val="Arial"/>
      <family val="2"/>
    </font>
    <font>
      <b/>
      <i/>
      <sz val="10"/>
      <color theme="0" tint="-0.14999847407452621"/>
      <name val="Arial"/>
      <family val="2"/>
    </font>
    <font>
      <i/>
      <sz val="10"/>
      <name val="Arial"/>
      <family val="2"/>
    </font>
    <font>
      <sz val="12"/>
      <name val="Arial"/>
      <family val="2"/>
    </font>
    <font>
      <i/>
      <sz val="11"/>
      <name val="Arial"/>
      <family val="2"/>
    </font>
    <font>
      <sz val="10"/>
      <color theme="0" tint="-4.9989318521683403E-2"/>
      <name val="Arial"/>
      <family val="2"/>
    </font>
    <font>
      <sz val="10"/>
      <color theme="0"/>
      <name val="Arial"/>
      <family val="2"/>
    </font>
    <font>
      <b/>
      <sz val="10"/>
      <color theme="0"/>
      <name val="Arial"/>
      <family val="2"/>
    </font>
    <font>
      <sz val="10"/>
      <color rgb="FFFF0000"/>
      <name val="Arial"/>
      <family val="2"/>
    </font>
    <font>
      <b/>
      <sz val="11"/>
      <color theme="0" tint="-0.499984740745262"/>
      <name val="Arial"/>
      <family val="2"/>
    </font>
    <font>
      <sz val="8"/>
      <color rgb="FFFFFFFF"/>
      <name val="Arial"/>
      <family val="2"/>
    </font>
    <font>
      <sz val="11"/>
      <color theme="0" tint="-4.9989318521683403E-2"/>
      <name val="Arial"/>
      <family val="2"/>
    </font>
    <font>
      <i/>
      <sz val="10"/>
      <color theme="0" tint="-4.9989318521683403E-2"/>
      <name val="Arial"/>
      <family val="2"/>
    </font>
    <font>
      <b/>
      <sz val="11"/>
      <name val="Arial"/>
      <family val="2"/>
    </font>
    <font>
      <b/>
      <i/>
      <sz val="10"/>
      <name val="Arial"/>
      <family val="2"/>
    </font>
    <font>
      <b/>
      <sz val="11"/>
      <color theme="0" tint="-4.9989318521683403E-2"/>
      <name val="Arial"/>
      <family val="2"/>
    </font>
    <font>
      <b/>
      <sz val="10"/>
      <color theme="1"/>
      <name val="Arial"/>
      <family val="2"/>
    </font>
    <font>
      <b/>
      <sz val="36"/>
      <color rgb="FF002060"/>
      <name val="Arial"/>
      <family val="2"/>
    </font>
    <font>
      <sz val="11"/>
      <color rgb="FF002060"/>
      <name val="Arial"/>
      <family val="2"/>
    </font>
    <font>
      <i/>
      <sz val="11"/>
      <color rgb="FF7F7F7F"/>
      <name val="Arial"/>
      <family val="2"/>
    </font>
    <font>
      <b/>
      <sz val="36"/>
      <color rgb="FF4C4C57"/>
      <name val="Arial"/>
      <family val="2"/>
    </font>
    <font>
      <sz val="12"/>
      <color rgb="FF4C4C57"/>
      <name val="Arial"/>
      <family val="2"/>
    </font>
    <font>
      <b/>
      <sz val="12"/>
      <color rgb="FF4C4C57"/>
      <name val="Arial"/>
      <family val="2"/>
    </font>
    <font>
      <sz val="10"/>
      <color rgb="FF4C4C57"/>
      <name val="Arial"/>
      <family val="2"/>
    </font>
    <font>
      <b/>
      <sz val="11"/>
      <color rgb="FF4C4C57"/>
      <name val="Calibri"/>
      <family val="2"/>
      <scheme val="minor"/>
    </font>
    <font>
      <b/>
      <sz val="11"/>
      <color rgb="FF0069B4"/>
      <name val="Calibri"/>
      <family val="2"/>
      <scheme val="minor"/>
    </font>
    <font>
      <sz val="11"/>
      <color rgb="FF4C4C57"/>
      <name val="Calibri"/>
      <family val="2"/>
      <scheme val="minor"/>
    </font>
    <font>
      <b/>
      <sz val="12"/>
      <color rgb="FF0069B4"/>
      <name val="Arial"/>
      <family val="2"/>
    </font>
    <font>
      <b/>
      <sz val="11"/>
      <color rgb="FF64CCC9"/>
      <name val="Arial"/>
      <family val="2"/>
    </font>
    <font>
      <b/>
      <sz val="11"/>
      <color rgb="FF0069B4"/>
      <name val="Arial"/>
      <family val="2"/>
    </font>
    <font>
      <b/>
      <sz val="14"/>
      <color rgb="FF0069B4"/>
      <name val="Arial"/>
      <family val="2"/>
    </font>
    <font>
      <b/>
      <sz val="11"/>
      <color theme="0"/>
      <name val="Arial"/>
      <family val="2"/>
    </font>
    <font>
      <sz val="10"/>
      <color rgb="FF64CCC9"/>
      <name val="Arial"/>
      <family val="2"/>
    </font>
  </fonts>
  <fills count="7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gray0625">
        <bgColor indexed="22"/>
      </patternFill>
    </fill>
    <fill>
      <patternFill patternType="solid">
        <fgColor indexed="47"/>
        <bgColor indexed="64"/>
      </patternFill>
    </fill>
    <fill>
      <patternFill patternType="solid">
        <fgColor indexed="26"/>
        <bgColor indexed="64"/>
      </patternFill>
    </fill>
    <fill>
      <patternFill patternType="solid">
        <fgColor indexed="37"/>
        <bgColor indexed="64"/>
      </patternFill>
    </fill>
    <fill>
      <patternFill patternType="solid">
        <fgColor indexed="32"/>
        <bgColor indexed="64"/>
      </patternFill>
    </fill>
    <fill>
      <patternFill patternType="solid">
        <fgColor indexed="17"/>
        <bgColor indexed="64"/>
      </patternFill>
    </fill>
    <fill>
      <patternFill patternType="solid">
        <fgColor indexed="18"/>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69B4"/>
        <bgColor indexed="64"/>
      </patternFill>
    </fill>
    <fill>
      <patternFill patternType="solid">
        <fgColor rgb="FF00A7E7"/>
        <bgColor indexed="64"/>
      </patternFill>
    </fill>
    <fill>
      <patternFill patternType="solid">
        <fgColor theme="2"/>
        <bgColor indexed="64"/>
      </patternFill>
    </fill>
    <fill>
      <patternFill patternType="solid">
        <fgColor rgb="FF64CCC9"/>
        <bgColor indexed="64"/>
      </patternFill>
    </fill>
    <fill>
      <patternFill patternType="solid">
        <fgColor rgb="FF002664"/>
        <bgColor indexed="64"/>
      </patternFill>
    </fill>
    <fill>
      <patternFill patternType="solid">
        <fgColor theme="0"/>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hair">
        <color indexed="12"/>
      </left>
      <right style="hair">
        <color indexed="12"/>
      </right>
      <top style="hair">
        <color indexed="12"/>
      </top>
      <bottom style="hair">
        <color indexed="12"/>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27">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8" applyNumberFormat="0" applyAlignment="0" applyProtection="0"/>
    <xf numFmtId="0" fontId="13" fillId="7" borderId="9" applyNumberFormat="0" applyAlignment="0" applyProtection="0"/>
    <xf numFmtId="0" fontId="14" fillId="7" borderId="8" applyNumberFormat="0" applyAlignment="0" applyProtection="0"/>
    <xf numFmtId="0" fontId="15" fillId="0" borderId="10" applyNumberFormat="0" applyFill="0" applyAlignment="0" applyProtection="0"/>
    <xf numFmtId="0" fontId="16" fillId="8" borderId="11" applyNumberFormat="0" applyAlignment="0" applyProtection="0"/>
    <xf numFmtId="0" fontId="17" fillId="0" borderId="0" applyNumberFormat="0" applyFill="0" applyBorder="0" applyAlignment="0" applyProtection="0"/>
    <xf numFmtId="0" fontId="1" fillId="9" borderId="12" applyNumberFormat="0" applyFont="0" applyAlignment="0" applyProtection="0"/>
    <xf numFmtId="0" fontId="18" fillId="0" borderId="0" applyNumberFormat="0" applyFill="0" applyBorder="0" applyAlignment="0" applyProtection="0"/>
    <xf numFmtId="0" fontId="3" fillId="0" borderId="13"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20" fillId="0" borderId="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0" fontId="23" fillId="35" borderId="0" applyNumberFormat="0" applyBorder="0" applyAlignment="0" applyProtection="0"/>
    <xf numFmtId="0" fontId="24" fillId="52" borderId="14" applyNumberFormat="0" applyAlignment="0" applyProtection="0"/>
    <xf numFmtId="0" fontId="25" fillId="53" borderId="15" applyNumberFormat="0" applyAlignment="0" applyProtection="0"/>
    <xf numFmtId="0" fontId="26" fillId="0" borderId="0" applyNumberFormat="0" applyFill="0" applyBorder="0" applyAlignment="0" applyProtection="0"/>
    <xf numFmtId="0" fontId="27" fillId="36"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31" fillId="39" borderId="14" applyNumberFormat="0" applyAlignment="0" applyProtection="0"/>
    <xf numFmtId="0" fontId="32" fillId="0" borderId="19" applyNumberFormat="0" applyFill="0" applyAlignment="0" applyProtection="0"/>
    <xf numFmtId="0" fontId="33" fillId="54" borderId="0" applyNumberFormat="0" applyBorder="0" applyAlignment="0" applyProtection="0"/>
    <xf numFmtId="0" fontId="20" fillId="55" borderId="20" applyNumberFormat="0" applyFont="0" applyAlignment="0" applyProtection="0"/>
    <xf numFmtId="0" fontId="34" fillId="52" borderId="21" applyNumberFormat="0" applyAlignment="0" applyProtection="0"/>
    <xf numFmtId="0" fontId="35" fillId="0" borderId="0" applyNumberFormat="0" applyFill="0" applyBorder="0" applyAlignment="0" applyProtection="0"/>
    <xf numFmtId="0" fontId="36" fillId="0" borderId="22" applyNumberFormat="0" applyFill="0" applyAlignment="0" applyProtection="0"/>
    <xf numFmtId="0" fontId="37"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xf numFmtId="3" fontId="41" fillId="56" borderId="1">
      <alignment horizontal="center"/>
      <protection locked="0"/>
    </xf>
    <xf numFmtId="3" fontId="41" fillId="56" borderId="0">
      <alignment horizontal="center"/>
      <protection locked="0"/>
    </xf>
    <xf numFmtId="17" fontId="38" fillId="56" borderId="1">
      <alignment horizontal="center"/>
      <protection locked="0"/>
    </xf>
    <xf numFmtId="166" fontId="20" fillId="56" borderId="1">
      <alignment horizontal="right"/>
      <protection locked="0"/>
    </xf>
    <xf numFmtId="167" fontId="42" fillId="0" borderId="0" applyFill="0" applyBorder="0">
      <protection locked="0"/>
    </xf>
    <xf numFmtId="168" fontId="43" fillId="0" borderId="0" applyFill="0" applyBorder="0"/>
    <xf numFmtId="168" fontId="42" fillId="0" borderId="0" applyFill="0" applyBorder="0">
      <protection locked="0"/>
    </xf>
    <xf numFmtId="166" fontId="20" fillId="56" borderId="1">
      <alignment horizontal="right"/>
      <protection locked="0"/>
    </xf>
    <xf numFmtId="169" fontId="43" fillId="0" borderId="0" applyFill="0" applyBorder="0"/>
    <xf numFmtId="15" fontId="42" fillId="0" borderId="0" applyFill="0" applyBorder="0">
      <protection locked="0"/>
    </xf>
    <xf numFmtId="1" fontId="43" fillId="0" borderId="0" applyFill="0" applyBorder="0">
      <alignment horizontal="right"/>
    </xf>
    <xf numFmtId="2" fontId="43" fillId="0" borderId="0" applyFill="0" applyBorder="0">
      <alignment horizontal="right"/>
    </xf>
    <xf numFmtId="2" fontId="42" fillId="0" borderId="0" applyFill="0" applyBorder="0">
      <protection locked="0"/>
    </xf>
    <xf numFmtId="165" fontId="43" fillId="0" borderId="0" applyFill="0" applyBorder="0">
      <alignment horizontal="right"/>
    </xf>
    <xf numFmtId="165" fontId="42" fillId="0" borderId="0" applyFill="0" applyBorder="0">
      <protection locked="0"/>
    </xf>
    <xf numFmtId="38" fontId="4" fillId="57" borderId="0" applyNumberFormat="0" applyBorder="0" applyAlignment="0" applyProtection="0"/>
    <xf numFmtId="9" fontId="38" fillId="56" borderId="0">
      <alignment horizontal="right"/>
      <protection locked="0"/>
    </xf>
    <xf numFmtId="0" fontId="20" fillId="58" borderId="0"/>
    <xf numFmtId="15" fontId="41" fillId="59" borderId="24"/>
    <xf numFmtId="170" fontId="41" fillId="56" borderId="24"/>
    <xf numFmtId="10" fontId="4" fillId="60" borderId="1" applyNumberFormat="0" applyBorder="0" applyAlignment="0" applyProtection="0"/>
    <xf numFmtId="0" fontId="44" fillId="61" borderId="0"/>
    <xf numFmtId="0" fontId="45" fillId="62" borderId="0"/>
    <xf numFmtId="171" fontId="46" fillId="0" borderId="0"/>
    <xf numFmtId="0" fontId="42" fillId="0" borderId="0" applyFill="0" applyBorder="0">
      <protection locked="0"/>
    </xf>
    <xf numFmtId="172" fontId="43" fillId="0" borderId="0" applyFill="0" applyBorder="0"/>
    <xf numFmtId="172" fontId="42" fillId="0" borderId="0" applyFill="0" applyBorder="0">
      <protection locked="0"/>
    </xf>
    <xf numFmtId="10" fontId="20" fillId="0" borderId="0" applyFont="0" applyFill="0" applyBorder="0" applyAlignment="0" applyProtection="0"/>
    <xf numFmtId="173" fontId="38" fillId="0" borderId="1">
      <alignment horizontal="right"/>
    </xf>
    <xf numFmtId="0" fontId="47" fillId="0" borderId="0">
      <alignment vertical="center"/>
    </xf>
    <xf numFmtId="0" fontId="45" fillId="63" borderId="0"/>
    <xf numFmtId="41" fontId="41" fillId="56" borderId="0">
      <alignment horizontal="center"/>
      <protection locked="0"/>
    </xf>
    <xf numFmtId="0" fontId="48" fillId="0" borderId="0" applyFill="0" applyBorder="0" applyAlignment="0"/>
    <xf numFmtId="0" fontId="49" fillId="64" borderId="0"/>
    <xf numFmtId="167" fontId="50" fillId="0" borderId="4" applyFill="0"/>
    <xf numFmtId="167" fontId="50" fillId="0" borderId="23" applyFill="0"/>
    <xf numFmtId="167" fontId="43" fillId="0" borderId="4" applyFill="0"/>
    <xf numFmtId="167" fontId="43" fillId="0" borderId="23" applyFill="0"/>
    <xf numFmtId="41" fontId="20" fillId="0" borderId="0" applyFont="0" applyFill="0" applyBorder="0" applyAlignment="0" applyProtection="0"/>
    <xf numFmtId="43" fontId="20" fillId="0" borderId="0" applyFont="0" applyFill="0" applyBorder="0" applyAlignment="0" applyProtection="0"/>
    <xf numFmtId="173" fontId="38" fillId="65" borderId="1">
      <alignment horizontal="right"/>
    </xf>
    <xf numFmtId="173" fontId="38" fillId="0" borderId="1">
      <alignment horizontal="right"/>
    </xf>
    <xf numFmtId="42" fontId="20" fillId="0" borderId="0" applyFont="0" applyFill="0" applyBorder="0" applyAlignment="0" applyProtection="0"/>
    <xf numFmtId="44" fontId="20" fillId="0" borderId="0" applyFont="0" applyFill="0" applyBorder="0" applyAlignment="0" applyProtection="0"/>
    <xf numFmtId="0" fontId="51" fillId="0" borderId="0" applyNumberFormat="0" applyFill="0" applyBorder="0"/>
    <xf numFmtId="0" fontId="1" fillId="0" borderId="0"/>
    <xf numFmtId="0" fontId="1" fillId="0" borderId="0"/>
    <xf numFmtId="0" fontId="1" fillId="0" borderId="0"/>
    <xf numFmtId="9" fontId="20"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0" fontId="20" fillId="0" borderId="0"/>
    <xf numFmtId="0" fontId="1" fillId="0" borderId="0"/>
    <xf numFmtId="0" fontId="20" fillId="0" borderId="0"/>
    <xf numFmtId="0" fontId="20" fillId="0" borderId="0"/>
    <xf numFmtId="9" fontId="20" fillId="0" borderId="0" applyFont="0" applyFill="0" applyBorder="0" applyAlignment="0" applyProtection="0"/>
    <xf numFmtId="0" fontId="1" fillId="0" borderId="0"/>
    <xf numFmtId="0" fontId="1" fillId="0" borderId="0"/>
    <xf numFmtId="0" fontId="20" fillId="0" borderId="0"/>
    <xf numFmtId="0" fontId="20" fillId="0" borderId="0"/>
    <xf numFmtId="0" fontId="20" fillId="0" borderId="0"/>
    <xf numFmtId="43" fontId="1" fillId="0" borderId="0" applyFont="0" applyFill="0" applyBorder="0" applyAlignment="0" applyProtection="0"/>
    <xf numFmtId="9" fontId="20" fillId="0" borderId="0" applyFont="0" applyFill="0" applyBorder="0" applyAlignment="0" applyProtection="0"/>
    <xf numFmtId="0" fontId="20" fillId="0" borderId="0"/>
    <xf numFmtId="0" fontId="31" fillId="39" borderId="14" applyNumberFormat="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31" fillId="39" borderId="14" applyNumberFormat="0" applyAlignment="0" applyProtection="0"/>
    <xf numFmtId="9" fontId="20" fillId="0" borderId="0" applyFont="0" applyFill="0" applyBorder="0" applyAlignment="0" applyProtection="0"/>
    <xf numFmtId="44" fontId="20" fillId="0" borderId="0" applyFont="0" applyFill="0" applyBorder="0" applyAlignment="0" applyProtection="0"/>
    <xf numFmtId="0" fontId="20" fillId="0" borderId="0"/>
    <xf numFmtId="0" fontId="52" fillId="0" borderId="0" applyNumberFormat="0" applyFill="0" applyBorder="0" applyAlignment="0" applyProtection="0">
      <alignment vertical="top"/>
      <protection locked="0"/>
    </xf>
    <xf numFmtId="0" fontId="20" fillId="0" borderId="0"/>
    <xf numFmtId="0" fontId="20" fillId="0" borderId="0"/>
    <xf numFmtId="0" fontId="2" fillId="0" borderId="0"/>
    <xf numFmtId="0" fontId="56" fillId="0" borderId="0" applyNumberFormat="0" applyFill="0" applyBorder="0" applyProtection="0">
      <alignment horizontal="center"/>
    </xf>
    <xf numFmtId="0" fontId="56" fillId="0" borderId="0" applyNumberFormat="0" applyFill="0" applyBorder="0" applyProtection="0">
      <alignment horizontal="center" textRotation="90"/>
    </xf>
    <xf numFmtId="0" fontId="57" fillId="0" borderId="0" applyNumberFormat="0" applyFill="0" applyBorder="0" applyAlignment="0" applyProtection="0"/>
    <xf numFmtId="174" fontId="57" fillId="0" borderId="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0" fillId="56" borderId="0">
      <protection locked="0"/>
    </xf>
    <xf numFmtId="0" fontId="20" fillId="56" borderId="0">
      <protection locked="0"/>
    </xf>
    <xf numFmtId="0" fontId="20" fillId="56" borderId="0">
      <protection locked="0"/>
    </xf>
    <xf numFmtId="0" fontId="20" fillId="66" borderId="25">
      <alignment horizontal="center" vertical="center"/>
      <protection locked="0"/>
    </xf>
    <xf numFmtId="0" fontId="20" fillId="66" borderId="25">
      <alignment horizontal="center" vertical="center"/>
      <protection locked="0"/>
    </xf>
    <xf numFmtId="0" fontId="20" fillId="66" borderId="25">
      <alignment horizontal="center" vertical="center"/>
      <protection locked="0"/>
    </xf>
    <xf numFmtId="43" fontId="21" fillId="0" borderId="0" applyFont="0" applyFill="0" applyBorder="0" applyAlignment="0" applyProtection="0"/>
    <xf numFmtId="43" fontId="21" fillId="0" borderId="0" applyFont="0" applyFill="0" applyBorder="0" applyAlignment="0" applyProtection="0"/>
    <xf numFmtId="0" fontId="20" fillId="67" borderId="0">
      <protection locked="0"/>
    </xf>
    <xf numFmtId="0" fontId="20" fillId="67" borderId="0">
      <protection locked="0"/>
    </xf>
    <xf numFmtId="0" fontId="20" fillId="67" borderId="0">
      <protection locked="0"/>
    </xf>
    <xf numFmtId="0" fontId="53" fillId="66" borderId="0">
      <alignment vertical="center"/>
      <protection locked="0"/>
    </xf>
    <xf numFmtId="0" fontId="53" fillId="0" borderId="0">
      <protection locked="0"/>
    </xf>
    <xf numFmtId="0" fontId="55" fillId="0" borderId="0">
      <protection locked="0"/>
    </xf>
    <xf numFmtId="0" fontId="54" fillId="0" borderId="0" applyNumberFormat="0" applyFill="0" applyBorder="0" applyAlignment="0" applyProtection="0"/>
    <xf numFmtId="0" fontId="2" fillId="0" borderId="0"/>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 fillId="0" borderId="0"/>
    <xf numFmtId="0" fontId="21" fillId="0" borderId="0"/>
    <xf numFmtId="0" fontId="21" fillId="9" borderId="12" applyNumberFormat="0" applyFont="0" applyAlignment="0" applyProtection="0"/>
    <xf numFmtId="0" fontId="21" fillId="9" borderId="12" applyNumberFormat="0" applyFont="0" applyAlignment="0" applyProtection="0"/>
    <xf numFmtId="0" fontId="1" fillId="9" borderId="12" applyNumberFormat="0" applyFont="0" applyAlignment="0" applyProtection="0"/>
    <xf numFmtId="0" fontId="20" fillId="66" borderId="4">
      <alignment vertical="center"/>
      <protection locked="0"/>
    </xf>
    <xf numFmtId="0" fontId="20" fillId="66" borderId="4">
      <alignment vertical="center"/>
      <protection locked="0"/>
    </xf>
    <xf numFmtId="0" fontId="20" fillId="66" borderId="4">
      <alignment vertical="center"/>
      <protection locked="0"/>
    </xf>
    <xf numFmtId="0" fontId="20" fillId="56" borderId="0">
      <protection locked="0"/>
    </xf>
    <xf numFmtId="0" fontId="20" fillId="56" borderId="0">
      <protection locked="0"/>
    </xf>
    <xf numFmtId="0" fontId="20" fillId="56" borderId="0">
      <protection locked="0"/>
    </xf>
    <xf numFmtId="43" fontId="1" fillId="0" borderId="0" applyFont="0" applyFill="0" applyBorder="0" applyAlignment="0" applyProtection="0"/>
    <xf numFmtId="175" fontId="61" fillId="2" borderId="0" applyNumberFormat="0" applyFont="0" applyBorder="0" applyAlignment="0" applyProtection="0">
      <alignment horizontal="left" vertical="center"/>
    </xf>
  </cellStyleXfs>
  <cellXfs count="178">
    <xf numFmtId="0" fontId="0" fillId="0" borderId="0" xfId="0"/>
    <xf numFmtId="0" fontId="58" fillId="0" borderId="0" xfId="0" applyFont="1" applyAlignment="1">
      <alignment wrapText="1"/>
    </xf>
    <xf numFmtId="0" fontId="59" fillId="0" borderId="0" xfId="0" applyFont="1" applyAlignment="1"/>
    <xf numFmtId="164" fontId="59" fillId="0" borderId="0" xfId="0" applyNumberFormat="1" applyFont="1" applyAlignment="1"/>
    <xf numFmtId="164" fontId="58" fillId="0" borderId="0" xfId="0" applyNumberFormat="1" applyFont="1" applyAlignment="1">
      <alignment horizontal="left"/>
    </xf>
    <xf numFmtId="0" fontId="0" fillId="0" borderId="0" xfId="0" applyAlignment="1">
      <alignment wrapText="1"/>
    </xf>
    <xf numFmtId="0" fontId="62" fillId="0" borderId="0" xfId="0" applyFont="1"/>
    <xf numFmtId="0" fontId="62" fillId="0" borderId="0" xfId="0" applyFont="1" applyFill="1" applyBorder="1"/>
    <xf numFmtId="0" fontId="62" fillId="0" borderId="0" xfId="0" applyFont="1" applyFill="1"/>
    <xf numFmtId="0" fontId="2" fillId="2" borderId="0" xfId="0" applyFont="1" applyFill="1" applyBorder="1"/>
    <xf numFmtId="0" fontId="2" fillId="2" borderId="29" xfId="0" applyFont="1" applyFill="1" applyBorder="1"/>
    <xf numFmtId="177" fontId="20" fillId="0" borderId="1" xfId="225" applyNumberFormat="1" applyFont="1" applyFill="1" applyBorder="1" applyAlignment="1" applyProtection="1">
      <alignment horizontal="left" vertical="center"/>
    </xf>
    <xf numFmtId="175" fontId="71" fillId="2" borderId="26" xfId="0" applyNumberFormat="1" applyFont="1" applyFill="1" applyBorder="1" applyAlignment="1">
      <alignment horizontal="left" vertical="center"/>
    </xf>
    <xf numFmtId="175" fontId="70" fillId="2" borderId="23" xfId="0" applyNumberFormat="1" applyFont="1" applyFill="1" applyBorder="1" applyAlignment="1">
      <alignment horizontal="left" vertical="center"/>
    </xf>
    <xf numFmtId="175" fontId="71" fillId="2" borderId="23" xfId="0" applyNumberFormat="1" applyFont="1" applyFill="1" applyBorder="1" applyAlignment="1">
      <alignment horizontal="left" vertical="center"/>
    </xf>
    <xf numFmtId="175" fontId="71" fillId="2" borderId="27" xfId="0" applyNumberFormat="1" applyFont="1" applyFill="1" applyBorder="1" applyAlignment="1">
      <alignment horizontal="left" vertical="center"/>
    </xf>
    <xf numFmtId="0" fontId="2" fillId="0" borderId="0" xfId="0" applyFont="1"/>
    <xf numFmtId="175" fontId="71" fillId="2" borderId="28" xfId="0" applyNumberFormat="1" applyFont="1" applyFill="1" applyBorder="1" applyAlignment="1">
      <alignment horizontal="left" vertical="center"/>
    </xf>
    <xf numFmtId="175" fontId="70" fillId="2" borderId="0" xfId="0" applyNumberFormat="1" applyFont="1" applyFill="1" applyBorder="1" applyAlignment="1">
      <alignment horizontal="left" vertical="center"/>
    </xf>
    <xf numFmtId="175" fontId="71" fillId="2" borderId="0" xfId="0" applyNumberFormat="1" applyFont="1" applyFill="1" applyBorder="1" applyAlignment="1">
      <alignment horizontal="left" vertical="center"/>
    </xf>
    <xf numFmtId="175" fontId="71" fillId="2" borderId="29" xfId="0" applyNumberFormat="1" applyFont="1" applyFill="1" applyBorder="1" applyAlignment="1">
      <alignment horizontal="left" vertical="center"/>
    </xf>
    <xf numFmtId="175" fontId="53" fillId="2" borderId="0" xfId="0" applyNumberFormat="1" applyFont="1" applyFill="1" applyBorder="1" applyAlignment="1">
      <alignment horizontal="left" vertical="center"/>
    </xf>
    <xf numFmtId="0" fontId="75" fillId="70" borderId="1" xfId="0" applyFont="1" applyFill="1" applyBorder="1"/>
    <xf numFmtId="0" fontId="76" fillId="70" borderId="1" xfId="0" applyFont="1" applyFill="1" applyBorder="1"/>
    <xf numFmtId="0" fontId="76" fillId="70" borderId="1" xfId="0" applyFont="1" applyFill="1" applyBorder="1" applyAlignment="1">
      <alignment wrapText="1"/>
    </xf>
    <xf numFmtId="0" fontId="76" fillId="70" borderId="1" xfId="0" applyFont="1" applyFill="1" applyBorder="1" applyAlignment="1">
      <alignment horizontal="right"/>
    </xf>
    <xf numFmtId="0" fontId="76" fillId="70" borderId="3" xfId="0" applyFont="1" applyFill="1" applyBorder="1" applyAlignment="1">
      <alignment horizontal="right"/>
    </xf>
    <xf numFmtId="9" fontId="76" fillId="70" borderId="1" xfId="1" applyFont="1" applyFill="1" applyBorder="1" applyAlignment="1">
      <alignment horizontal="center"/>
    </xf>
    <xf numFmtId="0" fontId="20" fillId="0" borderId="1" xfId="0" applyFont="1" applyBorder="1"/>
    <xf numFmtId="0" fontId="20" fillId="0" borderId="1" xfId="0" applyFont="1" applyFill="1" applyBorder="1"/>
    <xf numFmtId="0" fontId="20" fillId="0" borderId="1" xfId="0" applyFont="1" applyFill="1" applyBorder="1" applyAlignment="1">
      <alignment horizontal="right"/>
    </xf>
    <xf numFmtId="0" fontId="64" fillId="69" borderId="1" xfId="0" applyFont="1" applyFill="1" applyBorder="1" applyAlignment="1">
      <alignment horizontal="right"/>
    </xf>
    <xf numFmtId="0" fontId="20" fillId="0" borderId="2" xfId="0" applyFont="1" applyBorder="1"/>
    <xf numFmtId="0" fontId="76" fillId="70" borderId="1" xfId="0" applyFont="1" applyFill="1" applyBorder="1" applyAlignment="1">
      <alignment horizontal="center"/>
    </xf>
    <xf numFmtId="17" fontId="20" fillId="0" borderId="1" xfId="155" applyNumberFormat="1" applyFont="1" applyFill="1" applyBorder="1" applyAlignment="1">
      <alignment horizontal="left" vertical="center"/>
    </xf>
    <xf numFmtId="10" fontId="20" fillId="0" borderId="1" xfId="1" applyNumberFormat="1" applyFont="1" applyFill="1" applyBorder="1"/>
    <xf numFmtId="0" fontId="20" fillId="69" borderId="1" xfId="0" applyFont="1" applyFill="1" applyBorder="1"/>
    <xf numFmtId="10" fontId="77" fillId="2" borderId="1" xfId="1" applyNumberFormat="1" applyFont="1" applyFill="1" applyBorder="1" applyAlignment="1">
      <alignment horizontal="left" vertical="center"/>
    </xf>
    <xf numFmtId="175" fontId="77" fillId="2" borderId="0" xfId="0" applyNumberFormat="1" applyFont="1" applyFill="1" applyBorder="1" applyAlignment="1">
      <alignment horizontal="left" vertical="center"/>
    </xf>
    <xf numFmtId="0" fontId="64" fillId="0" borderId="1" xfId="0" applyFont="1" applyBorder="1"/>
    <xf numFmtId="175" fontId="53" fillId="2" borderId="31" xfId="0" applyNumberFormat="1" applyFont="1" applyFill="1" applyBorder="1" applyAlignment="1">
      <alignment horizontal="left" vertical="center"/>
    </xf>
    <xf numFmtId="0" fontId="2" fillId="0" borderId="0" xfId="0" applyFont="1" applyBorder="1"/>
    <xf numFmtId="0" fontId="64" fillId="68" borderId="1" xfId="0" applyFont="1" applyFill="1" applyBorder="1"/>
    <xf numFmtId="0" fontId="76" fillId="70" borderId="2" xfId="0" applyFont="1" applyFill="1" applyBorder="1"/>
    <xf numFmtId="0" fontId="2" fillId="2" borderId="0" xfId="0" applyFont="1" applyFill="1"/>
    <xf numFmtId="0" fontId="2" fillId="2" borderId="30" xfId="0" applyFont="1" applyFill="1" applyBorder="1"/>
    <xf numFmtId="0" fontId="2" fillId="2" borderId="26" xfId="226" applyNumberFormat="1" applyFont="1" applyBorder="1" applyAlignment="1"/>
    <xf numFmtId="0" fontId="2" fillId="2" borderId="28" xfId="226" applyNumberFormat="1" applyFont="1" applyBorder="1" applyAlignment="1"/>
    <xf numFmtId="0" fontId="2" fillId="2" borderId="0" xfId="226" applyNumberFormat="1" applyFont="1" applyBorder="1" applyAlignment="1"/>
    <xf numFmtId="0" fontId="2" fillId="2" borderId="29" xfId="226" applyNumberFormat="1" applyFont="1" applyBorder="1" applyAlignment="1"/>
    <xf numFmtId="0" fontId="64" fillId="2" borderId="0" xfId="226" applyNumberFormat="1" applyFont="1" applyBorder="1" applyAlignment="1"/>
    <xf numFmtId="11" fontId="64" fillId="0" borderId="1" xfId="0" applyNumberFormat="1" applyFont="1" applyBorder="1"/>
    <xf numFmtId="165" fontId="64" fillId="0" borderId="1" xfId="0" applyNumberFormat="1" applyFont="1" applyBorder="1"/>
    <xf numFmtId="176" fontId="64" fillId="0" borderId="1" xfId="0" applyNumberFormat="1" applyFont="1" applyBorder="1"/>
    <xf numFmtId="0" fontId="2" fillId="2" borderId="30" xfId="226" applyNumberFormat="1" applyFont="1" applyBorder="1" applyAlignment="1"/>
    <xf numFmtId="0" fontId="2" fillId="2" borderId="31" xfId="226" applyNumberFormat="1" applyFont="1" applyBorder="1" applyAlignment="1"/>
    <xf numFmtId="0" fontId="2" fillId="2" borderId="32" xfId="226" applyNumberFormat="1" applyFont="1" applyBorder="1" applyAlignment="1"/>
    <xf numFmtId="11" fontId="2" fillId="0" borderId="0" xfId="0" applyNumberFormat="1" applyFont="1"/>
    <xf numFmtId="0" fontId="2" fillId="2" borderId="23" xfId="0" applyFont="1" applyFill="1" applyBorder="1"/>
    <xf numFmtId="0" fontId="2" fillId="2" borderId="27" xfId="0" applyFont="1" applyFill="1" applyBorder="1"/>
    <xf numFmtId="0" fontId="2" fillId="2" borderId="28" xfId="0" applyFont="1" applyFill="1" applyBorder="1"/>
    <xf numFmtId="0" fontId="64" fillId="0" borderId="1" xfId="0" applyFont="1" applyFill="1" applyBorder="1"/>
    <xf numFmtId="11" fontId="64" fillId="0" borderId="1" xfId="0" applyNumberFormat="1" applyFont="1" applyFill="1" applyBorder="1"/>
    <xf numFmtId="0" fontId="64" fillId="2" borderId="28" xfId="0" applyFont="1" applyFill="1" applyBorder="1"/>
    <xf numFmtId="0" fontId="64" fillId="2" borderId="0" xfId="0" applyFont="1" applyFill="1" applyBorder="1"/>
    <xf numFmtId="11" fontId="2" fillId="2" borderId="0" xfId="0" applyNumberFormat="1" applyFont="1" applyFill="1" applyBorder="1"/>
    <xf numFmtId="0" fontId="2" fillId="2" borderId="31" xfId="0" applyFont="1" applyFill="1" applyBorder="1"/>
    <xf numFmtId="0" fontId="2" fillId="2" borderId="32" xfId="0" applyFont="1" applyFill="1" applyBorder="1"/>
    <xf numFmtId="0" fontId="2" fillId="0" borderId="0" xfId="0" applyFont="1" applyProtection="1"/>
    <xf numFmtId="0" fontId="2" fillId="0" borderId="0" xfId="0" applyFont="1" applyFill="1" applyBorder="1" applyProtection="1"/>
    <xf numFmtId="0" fontId="63" fillId="0" borderId="0" xfId="0" applyFont="1" applyFill="1" applyBorder="1" applyAlignment="1" applyProtection="1">
      <alignment vertical="center"/>
    </xf>
    <xf numFmtId="175" fontId="71" fillId="0" borderId="0" xfId="0" applyNumberFormat="1" applyFont="1" applyFill="1" applyBorder="1" applyAlignment="1" applyProtection="1">
      <alignment horizontal="left" vertical="center"/>
    </xf>
    <xf numFmtId="0" fontId="58" fillId="0" borderId="1" xfId="0" applyFont="1" applyBorder="1" applyAlignment="1">
      <alignment vertical="center" wrapText="1"/>
    </xf>
    <xf numFmtId="177" fontId="53" fillId="0" borderId="1" xfId="225" applyNumberFormat="1" applyFont="1" applyFill="1" applyBorder="1" applyAlignment="1" applyProtection="1">
      <alignment horizontal="left" vertical="center"/>
    </xf>
    <xf numFmtId="0" fontId="79" fillId="70" borderId="1" xfId="0" applyFont="1" applyFill="1" applyBorder="1" applyAlignment="1">
      <alignment vertical="center" wrapText="1"/>
    </xf>
    <xf numFmtId="10" fontId="2" fillId="0" borderId="1" xfId="1" applyNumberFormat="1" applyFont="1" applyBorder="1"/>
    <xf numFmtId="0" fontId="58" fillId="69" borderId="1" xfId="0" applyFont="1" applyFill="1" applyBorder="1" applyAlignment="1">
      <alignment vertical="center" wrapText="1"/>
    </xf>
    <xf numFmtId="10" fontId="2" fillId="69" borderId="1" xfId="1" applyNumberFormat="1" applyFont="1" applyFill="1" applyBorder="1"/>
    <xf numFmtId="0" fontId="86" fillId="2" borderId="23" xfId="0" applyFont="1" applyFill="1" applyBorder="1" applyAlignment="1">
      <alignment vertical="center"/>
    </xf>
    <xf numFmtId="0" fontId="87" fillId="2" borderId="23" xfId="226" applyNumberFormat="1" applyFont="1" applyBorder="1" applyAlignment="1"/>
    <xf numFmtId="0" fontId="87" fillId="2" borderId="27" xfId="226" applyNumberFormat="1" applyFont="1" applyBorder="1" applyAlignment="1"/>
    <xf numFmtId="0" fontId="87" fillId="2" borderId="0" xfId="0" applyFont="1" applyFill="1" applyBorder="1"/>
    <xf numFmtId="10" fontId="77" fillId="2" borderId="0" xfId="1" applyNumberFormat="1" applyFont="1" applyFill="1" applyBorder="1" applyAlignment="1">
      <alignment horizontal="left" vertical="center"/>
    </xf>
    <xf numFmtId="0" fontId="75" fillId="70" borderId="34" xfId="0" applyFont="1" applyFill="1" applyBorder="1"/>
    <xf numFmtId="0" fontId="86" fillId="2" borderId="0" xfId="0" applyFont="1" applyFill="1" applyBorder="1" applyAlignment="1">
      <alignment vertical="center"/>
    </xf>
    <xf numFmtId="0" fontId="87" fillId="2" borderId="31" xfId="0" applyFont="1" applyFill="1" applyBorder="1"/>
    <xf numFmtId="0" fontId="2" fillId="0" borderId="29" xfId="0" applyFont="1" applyBorder="1"/>
    <xf numFmtId="0" fontId="87" fillId="2" borderId="26" xfId="0" applyFont="1" applyFill="1" applyBorder="1"/>
    <xf numFmtId="0" fontId="0" fillId="73" borderId="0" xfId="0" applyFill="1"/>
    <xf numFmtId="0" fontId="0" fillId="72" borderId="0" xfId="0" applyFill="1"/>
    <xf numFmtId="0" fontId="93" fillId="0" borderId="0" xfId="0" applyFont="1"/>
    <xf numFmtId="0" fontId="94" fillId="0" borderId="0" xfId="0" applyFont="1"/>
    <xf numFmtId="0" fontId="95" fillId="0" borderId="0" xfId="0" applyFont="1"/>
    <xf numFmtId="0" fontId="2" fillId="72" borderId="0" xfId="0" applyFont="1" applyFill="1"/>
    <xf numFmtId="0" fontId="2" fillId="73" borderId="0" xfId="0" applyFont="1" applyFill="1"/>
    <xf numFmtId="175" fontId="65" fillId="0" borderId="0" xfId="0" applyNumberFormat="1" applyFont="1" applyFill="1" applyBorder="1" applyAlignment="1">
      <alignment horizontal="left" vertical="center"/>
    </xf>
    <xf numFmtId="175" fontId="66" fillId="0" borderId="0" xfId="0" applyNumberFormat="1" applyFont="1" applyFill="1" applyBorder="1" applyAlignment="1">
      <alignment horizontal="left" vertical="center" wrapText="1"/>
    </xf>
    <xf numFmtId="175" fontId="66" fillId="0" borderId="0" xfId="0" applyNumberFormat="1" applyFont="1" applyFill="1" applyBorder="1" applyAlignment="1">
      <alignment horizontal="left" vertical="center"/>
    </xf>
    <xf numFmtId="0" fontId="2" fillId="0" borderId="0" xfId="0" applyFont="1" applyFill="1" applyBorder="1"/>
    <xf numFmtId="175" fontId="68" fillId="0" borderId="0" xfId="0" applyNumberFormat="1" applyFont="1" applyFill="1" applyBorder="1" applyAlignment="1">
      <alignment horizontal="left" vertical="center"/>
    </xf>
    <xf numFmtId="175" fontId="67" fillId="0" borderId="0" xfId="0" applyNumberFormat="1" applyFont="1" applyFill="1" applyBorder="1" applyAlignment="1">
      <alignment horizontal="left" vertical="center"/>
    </xf>
    <xf numFmtId="175" fontId="96" fillId="0" borderId="0" xfId="0" applyNumberFormat="1" applyFont="1" applyFill="1" applyBorder="1" applyAlignment="1">
      <alignment horizontal="left" vertical="center"/>
    </xf>
    <xf numFmtId="0" fontId="64" fillId="74" borderId="1" xfId="0" applyFont="1" applyFill="1" applyBorder="1" applyProtection="1">
      <protection locked="0"/>
    </xf>
    <xf numFmtId="0" fontId="64" fillId="75" borderId="1" xfId="0" applyFont="1" applyFill="1" applyBorder="1" applyProtection="1">
      <protection locked="0"/>
    </xf>
    <xf numFmtId="175" fontId="65" fillId="0" borderId="0" xfId="0" applyNumberFormat="1" applyFont="1" applyFill="1" applyBorder="1" applyAlignment="1">
      <alignment horizontal="left" vertical="top"/>
    </xf>
    <xf numFmtId="0" fontId="62" fillId="0" borderId="0" xfId="0" applyFont="1" applyFill="1" applyAlignment="1">
      <alignment vertical="top"/>
    </xf>
    <xf numFmtId="0" fontId="58" fillId="0" borderId="0" xfId="0" applyFont="1" applyFill="1" applyBorder="1" applyAlignment="1">
      <alignment vertical="top" wrapText="1"/>
    </xf>
    <xf numFmtId="0" fontId="98" fillId="0" borderId="0" xfId="0" applyFont="1" applyFill="1" applyBorder="1"/>
    <xf numFmtId="175" fontId="99" fillId="0" borderId="0" xfId="0" applyNumberFormat="1" applyFont="1" applyFill="1" applyBorder="1" applyAlignment="1" applyProtection="1">
      <alignment horizontal="left" vertical="center"/>
    </xf>
    <xf numFmtId="175" fontId="66" fillId="0" borderId="0" xfId="0" applyNumberFormat="1" applyFont="1" applyFill="1" applyBorder="1" applyAlignment="1" applyProtection="1">
      <alignment horizontal="left" vertical="center"/>
    </xf>
    <xf numFmtId="0" fontId="88" fillId="0" borderId="0" xfId="17" applyNumberFormat="1" applyFont="1" applyFill="1" applyBorder="1" applyAlignment="1" applyProtection="1"/>
    <xf numFmtId="175" fontId="80" fillId="0" borderId="0" xfId="0" applyNumberFormat="1" applyFont="1" applyFill="1" applyBorder="1" applyAlignment="1" applyProtection="1">
      <alignment horizontal="left" vertical="center"/>
    </xf>
    <xf numFmtId="175" fontId="74" fillId="0" borderId="0" xfId="0" applyNumberFormat="1" applyFont="1" applyFill="1" applyBorder="1" applyAlignment="1" applyProtection="1">
      <alignment horizontal="left" vertical="center" wrapText="1"/>
    </xf>
    <xf numFmtId="9" fontId="85" fillId="0" borderId="1" xfId="1" applyFont="1" applyFill="1" applyBorder="1" applyAlignment="1" applyProtection="1">
      <alignment horizontal="center"/>
    </xf>
    <xf numFmtId="175" fontId="81" fillId="0" borderId="0" xfId="0" applyNumberFormat="1" applyFont="1" applyFill="1" applyBorder="1" applyAlignment="1" applyProtection="1">
      <alignment horizontal="left" vertical="center"/>
    </xf>
    <xf numFmtId="175" fontId="72" fillId="0" borderId="0" xfId="0" applyNumberFormat="1" applyFont="1" applyFill="1" applyBorder="1" applyAlignment="1" applyProtection="1">
      <alignment horizontal="left" vertical="center" wrapText="1"/>
    </xf>
    <xf numFmtId="175" fontId="73" fillId="0" borderId="0" xfId="0" applyNumberFormat="1" applyFont="1" applyFill="1" applyBorder="1" applyAlignment="1" applyProtection="1">
      <alignment horizontal="left" vertical="center"/>
    </xf>
    <xf numFmtId="177" fontId="20" fillId="0" borderId="1" xfId="225" applyNumberFormat="1" applyFont="1" applyFill="1" applyBorder="1" applyAlignment="1" applyProtection="1">
      <alignment horizontal="left" vertical="center"/>
      <protection hidden="1"/>
    </xf>
    <xf numFmtId="177" fontId="53" fillId="0" borderId="1" xfId="225" applyNumberFormat="1" applyFont="1" applyFill="1" applyBorder="1" applyAlignment="1" applyProtection="1">
      <alignment horizontal="left" vertical="center"/>
      <protection hidden="1"/>
    </xf>
    <xf numFmtId="175" fontId="72" fillId="0" borderId="0" xfId="0" applyNumberFormat="1" applyFont="1" applyFill="1" applyBorder="1" applyAlignment="1" applyProtection="1">
      <alignment vertical="center"/>
    </xf>
    <xf numFmtId="2" fontId="2" fillId="0" borderId="0" xfId="0" applyNumberFormat="1" applyFont="1" applyFill="1" applyBorder="1" applyProtection="1"/>
    <xf numFmtId="175" fontId="55" fillId="0" borderId="0" xfId="0" applyNumberFormat="1" applyFont="1" applyFill="1" applyBorder="1" applyAlignment="1" applyProtection="1">
      <alignment horizontal="left" vertical="center"/>
    </xf>
    <xf numFmtId="43" fontId="74" fillId="0" borderId="0" xfId="225" applyFont="1" applyFill="1" applyBorder="1" applyAlignment="1" applyProtection="1">
      <alignment horizontal="left" vertical="center"/>
      <protection hidden="1"/>
    </xf>
    <xf numFmtId="0" fontId="86" fillId="0" borderId="0" xfId="0" applyFont="1" applyFill="1" applyBorder="1" applyAlignment="1" applyProtection="1">
      <alignment vertical="center"/>
    </xf>
    <xf numFmtId="0" fontId="87" fillId="0" borderId="0" xfId="0" applyFont="1" applyFill="1" applyBorder="1" applyProtection="1"/>
    <xf numFmtId="175" fontId="76" fillId="76" borderId="1" xfId="0" applyNumberFormat="1" applyFont="1" applyFill="1" applyBorder="1" applyAlignment="1" applyProtection="1">
      <alignment horizontal="left" vertical="center"/>
    </xf>
    <xf numFmtId="0" fontId="64" fillId="75" borderId="1" xfId="0" applyFont="1" applyFill="1" applyBorder="1" applyAlignment="1" applyProtection="1">
      <alignment horizontal="right"/>
      <protection locked="0"/>
    </xf>
    <xf numFmtId="0" fontId="20" fillId="75" borderId="1" xfId="0" applyFont="1" applyFill="1" applyBorder="1" applyProtection="1">
      <protection locked="0"/>
    </xf>
    <xf numFmtId="0" fontId="64" fillId="71" borderId="1" xfId="0" applyFont="1" applyFill="1" applyBorder="1" applyProtection="1">
      <protection locked="0"/>
    </xf>
    <xf numFmtId="9" fontId="64" fillId="71" borderId="1" xfId="0" applyNumberFormat="1" applyFont="1" applyFill="1" applyBorder="1" applyProtection="1">
      <protection locked="0"/>
    </xf>
    <xf numFmtId="179" fontId="64" fillId="71" borderId="1" xfId="1" applyNumberFormat="1" applyFont="1" applyFill="1" applyBorder="1" applyAlignment="1" applyProtection="1">
      <alignment horizontal="center"/>
      <protection locked="0"/>
    </xf>
    <xf numFmtId="179" fontId="20" fillId="0" borderId="1" xfId="1" applyNumberFormat="1" applyFont="1" applyFill="1" applyBorder="1" applyAlignment="1" applyProtection="1">
      <alignment horizontal="center"/>
    </xf>
    <xf numFmtId="175" fontId="76" fillId="76" borderId="1" xfId="0" applyNumberFormat="1" applyFont="1" applyFill="1" applyBorder="1" applyAlignment="1" applyProtection="1">
      <alignment horizontal="center" vertical="center"/>
    </xf>
    <xf numFmtId="175" fontId="66" fillId="0" borderId="3" xfId="0" applyNumberFormat="1" applyFont="1" applyFill="1" applyBorder="1" applyAlignment="1" applyProtection="1">
      <alignment horizontal="left" vertical="center"/>
    </xf>
    <xf numFmtId="175" fontId="73" fillId="0" borderId="33" xfId="0" applyNumberFormat="1" applyFont="1" applyFill="1" applyBorder="1" applyAlignment="1" applyProtection="1">
      <alignment horizontal="left" vertical="center"/>
    </xf>
    <xf numFmtId="0" fontId="69" fillId="0" borderId="3" xfId="0" applyFont="1" applyFill="1" applyBorder="1" applyProtection="1"/>
    <xf numFmtId="175" fontId="82" fillId="0" borderId="33" xfId="0" applyNumberFormat="1" applyFont="1" applyFill="1" applyBorder="1" applyAlignment="1" applyProtection="1">
      <alignment horizontal="left" vertical="center"/>
    </xf>
    <xf numFmtId="175" fontId="20" fillId="0" borderId="3" xfId="0" applyNumberFormat="1" applyFont="1" applyFill="1" applyBorder="1" applyAlignment="1" applyProtection="1">
      <alignment horizontal="left" vertical="center"/>
    </xf>
    <xf numFmtId="175" fontId="71" fillId="0" borderId="33" xfId="0" applyNumberFormat="1" applyFont="1" applyFill="1" applyBorder="1" applyAlignment="1" applyProtection="1">
      <alignment horizontal="left" vertical="center"/>
    </xf>
    <xf numFmtId="175" fontId="83" fillId="0" borderId="33" xfId="0" applyNumberFormat="1" applyFont="1" applyFill="1" applyBorder="1" applyAlignment="1" applyProtection="1">
      <alignment horizontal="left" vertical="center"/>
    </xf>
    <xf numFmtId="175" fontId="76" fillId="76" borderId="3" xfId="0" applyNumberFormat="1" applyFont="1" applyFill="1" applyBorder="1" applyAlignment="1" applyProtection="1">
      <alignment horizontal="left" vertical="center"/>
    </xf>
    <xf numFmtId="0" fontId="100" fillId="76" borderId="4" xfId="0" applyFont="1" applyFill="1" applyBorder="1" applyProtection="1"/>
    <xf numFmtId="43" fontId="76" fillId="76" borderId="33" xfId="225" applyFont="1" applyFill="1" applyBorder="1" applyAlignment="1" applyProtection="1">
      <alignment horizontal="left" vertical="center"/>
      <protection hidden="1"/>
    </xf>
    <xf numFmtId="0" fontId="2" fillId="0" borderId="4" xfId="0" applyFont="1" applyFill="1" applyBorder="1" applyProtection="1"/>
    <xf numFmtId="43" fontId="74" fillId="0" borderId="33" xfId="225" applyFont="1" applyFill="1" applyBorder="1" applyAlignment="1" applyProtection="1">
      <alignment horizontal="left" vertical="center"/>
      <protection hidden="1"/>
    </xf>
    <xf numFmtId="0" fontId="69" fillId="0" borderId="4" xfId="0" applyFont="1" applyFill="1" applyBorder="1" applyProtection="1"/>
    <xf numFmtId="2" fontId="84" fillId="0" borderId="33" xfId="0" applyNumberFormat="1" applyFont="1" applyFill="1" applyBorder="1" applyProtection="1"/>
    <xf numFmtId="0" fontId="66" fillId="0" borderId="4" xfId="0" applyFont="1" applyFill="1" applyBorder="1" applyProtection="1"/>
    <xf numFmtId="175" fontId="76" fillId="76" borderId="33" xfId="0" applyNumberFormat="1" applyFont="1" applyFill="1" applyBorder="1" applyAlignment="1" applyProtection="1">
      <alignment horizontal="left" vertical="center"/>
    </xf>
    <xf numFmtId="175" fontId="101" fillId="0" borderId="0" xfId="0" applyNumberFormat="1" applyFont="1" applyFill="1" applyBorder="1" applyAlignment="1" applyProtection="1">
      <alignment horizontal="left" vertical="center"/>
    </xf>
    <xf numFmtId="175" fontId="20" fillId="0" borderId="33" xfId="0" applyNumberFormat="1" applyFont="1" applyFill="1" applyBorder="1" applyAlignment="1" applyProtection="1">
      <alignment horizontal="left" vertical="center"/>
    </xf>
    <xf numFmtId="43" fontId="85" fillId="0" borderId="3" xfId="225" applyFont="1" applyFill="1" applyBorder="1" applyProtection="1"/>
    <xf numFmtId="43" fontId="85" fillId="0" borderId="33" xfId="225" applyFont="1" applyFill="1" applyBorder="1" applyProtection="1"/>
    <xf numFmtId="178" fontId="64" fillId="71" borderId="1" xfId="225" applyNumberFormat="1" applyFont="1" applyFill="1" applyBorder="1" applyProtection="1">
      <protection locked="0"/>
    </xf>
    <xf numFmtId="175" fontId="18" fillId="0" borderId="0" xfId="17" applyNumberFormat="1" applyFill="1" applyBorder="1" applyAlignment="1" applyProtection="1">
      <alignment horizontal="left" vertical="center"/>
    </xf>
    <xf numFmtId="0" fontId="89" fillId="0" borderId="0" xfId="0" applyFont="1" applyFill="1" applyBorder="1" applyAlignment="1" applyProtection="1">
      <alignment vertical="center"/>
    </xf>
    <xf numFmtId="0" fontId="92" fillId="0" borderId="0" xfId="0" applyFont="1" applyFill="1" applyBorder="1" applyAlignment="1" applyProtection="1">
      <alignment horizontal="left"/>
      <protection locked="0"/>
    </xf>
    <xf numFmtId="0" fontId="89" fillId="0" borderId="0" xfId="0" applyFont="1" applyFill="1" applyBorder="1" applyAlignment="1">
      <alignment horizontal="left" vertical="center" wrapText="1"/>
    </xf>
    <xf numFmtId="0" fontId="90" fillId="0" borderId="0" xfId="0" applyFont="1" applyFill="1" applyBorder="1" applyAlignment="1">
      <alignment horizontal="left" vertical="center"/>
    </xf>
    <xf numFmtId="0" fontId="91" fillId="0" borderId="0" xfId="0" applyFont="1" applyFill="1" applyBorder="1" applyAlignment="1">
      <alignment horizontal="left" vertical="center"/>
    </xf>
    <xf numFmtId="175" fontId="66" fillId="0" borderId="0" xfId="0" applyNumberFormat="1" applyFont="1" applyFill="1" applyBorder="1" applyAlignment="1">
      <alignment horizontal="left" vertical="top" wrapText="1"/>
    </xf>
    <xf numFmtId="43" fontId="75" fillId="0" borderId="0" xfId="225" applyFont="1" applyFill="1" applyBorder="1" applyAlignment="1">
      <alignment horizontal="center"/>
    </xf>
    <xf numFmtId="0" fontId="0" fillId="0" borderId="0" xfId="0" applyBorder="1"/>
    <xf numFmtId="43" fontId="20" fillId="0" borderId="1" xfId="225" applyFont="1" applyFill="1" applyBorder="1" applyAlignment="1" applyProtection="1">
      <alignment horizontal="left" vertical="center"/>
    </xf>
    <xf numFmtId="0" fontId="20" fillId="77" borderId="1" xfId="0" applyFont="1" applyFill="1" applyBorder="1" applyAlignment="1">
      <alignment horizontal="right"/>
    </xf>
    <xf numFmtId="0" fontId="20" fillId="0" borderId="1" xfId="0" applyFont="1" applyBorder="1" applyAlignment="1">
      <alignment horizontal="right"/>
    </xf>
    <xf numFmtId="0" fontId="92" fillId="0" borderId="0" xfId="0" applyFont="1" applyFill="1" applyBorder="1" applyAlignment="1" applyProtection="1">
      <alignment horizontal="left"/>
      <protection locked="0"/>
    </xf>
    <xf numFmtId="0" fontId="89" fillId="0" borderId="0" xfId="0" applyFont="1" applyFill="1" applyBorder="1" applyAlignment="1">
      <alignment horizontal="left" vertical="center" wrapText="1"/>
    </xf>
    <xf numFmtId="0" fontId="90" fillId="0" borderId="0" xfId="0" applyFont="1" applyFill="1" applyBorder="1" applyAlignment="1">
      <alignment horizontal="left" vertical="center"/>
    </xf>
    <xf numFmtId="0" fontId="91" fillId="0" borderId="0" xfId="0" applyFont="1" applyFill="1" applyBorder="1" applyAlignment="1">
      <alignment horizontal="left" vertical="center"/>
    </xf>
    <xf numFmtId="175" fontId="66" fillId="0" borderId="0" xfId="0" applyNumberFormat="1" applyFont="1" applyFill="1" applyBorder="1" applyAlignment="1">
      <alignment horizontal="left" vertical="top" wrapText="1"/>
    </xf>
    <xf numFmtId="0" fontId="89" fillId="0" borderId="0" xfId="0" applyFont="1" applyFill="1" applyBorder="1" applyAlignment="1">
      <alignment horizontal="left" vertical="center"/>
    </xf>
    <xf numFmtId="175" fontId="66" fillId="0" borderId="0" xfId="0" applyNumberFormat="1" applyFont="1" applyFill="1" applyBorder="1" applyAlignment="1">
      <alignment horizontal="left" vertical="top"/>
    </xf>
    <xf numFmtId="175" fontId="76" fillId="76" borderId="3" xfId="0" applyNumberFormat="1" applyFont="1" applyFill="1" applyBorder="1" applyAlignment="1" applyProtection="1">
      <alignment horizontal="center" vertical="center" wrapText="1"/>
    </xf>
    <xf numFmtId="175" fontId="76" fillId="76" borderId="4" xfId="0" applyNumberFormat="1" applyFont="1" applyFill="1" applyBorder="1" applyAlignment="1" applyProtection="1">
      <alignment horizontal="center" vertical="center" wrapText="1"/>
    </xf>
    <xf numFmtId="175" fontId="76" fillId="76" borderId="33" xfId="0" applyNumberFormat="1" applyFont="1" applyFill="1" applyBorder="1" applyAlignment="1" applyProtection="1">
      <alignment horizontal="center" vertical="center" wrapText="1"/>
    </xf>
    <xf numFmtId="175" fontId="72" fillId="0" borderId="0" xfId="0" applyNumberFormat="1" applyFont="1" applyFill="1" applyBorder="1" applyAlignment="1" applyProtection="1">
      <alignment horizontal="left" vertical="center" wrapText="1"/>
    </xf>
    <xf numFmtId="175" fontId="72" fillId="0" borderId="0" xfId="0" applyNumberFormat="1" applyFont="1" applyFill="1" applyBorder="1" applyAlignment="1" applyProtection="1">
      <alignment vertical="center" wrapText="1"/>
    </xf>
  </cellXfs>
  <cellStyles count="227">
    <cellStyle name="20% - Accent1" xfId="20" builtinId="30" customBuiltin="1"/>
    <cellStyle name="20% - Accent1 2" xfId="44" xr:uid="{00000000-0005-0000-0000-000001000000}"/>
    <cellStyle name="20% - Accent1 2 2" xfId="181" xr:uid="{00000000-0005-0000-0000-000002000000}"/>
    <cellStyle name="20% - Accent2" xfId="24" builtinId="34" customBuiltin="1"/>
    <cellStyle name="20% - Accent2 2" xfId="45" xr:uid="{00000000-0005-0000-0000-000004000000}"/>
    <cellStyle name="20% - Accent2 2 2" xfId="182" xr:uid="{00000000-0005-0000-0000-000005000000}"/>
    <cellStyle name="20% - Accent3" xfId="28" builtinId="38" customBuiltin="1"/>
    <cellStyle name="20% - Accent3 2" xfId="46" xr:uid="{00000000-0005-0000-0000-000007000000}"/>
    <cellStyle name="20% - Accent3 2 2" xfId="183" xr:uid="{00000000-0005-0000-0000-000008000000}"/>
    <cellStyle name="20% - Accent4" xfId="32" builtinId="42" customBuiltin="1"/>
    <cellStyle name="20% - Accent4 2" xfId="47" xr:uid="{00000000-0005-0000-0000-00000A000000}"/>
    <cellStyle name="20% - Accent4 2 2" xfId="184" xr:uid="{00000000-0005-0000-0000-00000B000000}"/>
    <cellStyle name="20% - Accent5" xfId="36" builtinId="46" customBuiltin="1"/>
    <cellStyle name="20% - Accent5 2" xfId="48" xr:uid="{00000000-0005-0000-0000-00000D000000}"/>
    <cellStyle name="20% - Accent5 2 2" xfId="185" xr:uid="{00000000-0005-0000-0000-00000E000000}"/>
    <cellStyle name="20% - Accent6" xfId="40" builtinId="50" customBuiltin="1"/>
    <cellStyle name="20% - Accent6 2" xfId="49" xr:uid="{00000000-0005-0000-0000-000010000000}"/>
    <cellStyle name="20% - Accent6 2 2" xfId="186" xr:uid="{00000000-0005-0000-0000-000011000000}"/>
    <cellStyle name="40% - Accent1" xfId="21" builtinId="31" customBuiltin="1"/>
    <cellStyle name="40% - Accent1 2" xfId="50" xr:uid="{00000000-0005-0000-0000-000013000000}"/>
    <cellStyle name="40% - Accent1 2 2" xfId="187" xr:uid="{00000000-0005-0000-0000-000014000000}"/>
    <cellStyle name="40% - Accent2" xfId="25" builtinId="35" customBuiltin="1"/>
    <cellStyle name="40% - Accent2 2" xfId="51" xr:uid="{00000000-0005-0000-0000-000016000000}"/>
    <cellStyle name="40% - Accent2 2 2" xfId="188" xr:uid="{00000000-0005-0000-0000-000017000000}"/>
    <cellStyle name="40% - Accent3" xfId="29" builtinId="39" customBuiltin="1"/>
    <cellStyle name="40% - Accent3 2" xfId="52" xr:uid="{00000000-0005-0000-0000-000019000000}"/>
    <cellStyle name="40% - Accent3 2 2" xfId="189" xr:uid="{00000000-0005-0000-0000-00001A000000}"/>
    <cellStyle name="40% - Accent4" xfId="33" builtinId="43" customBuiltin="1"/>
    <cellStyle name="40% - Accent4 2" xfId="53" xr:uid="{00000000-0005-0000-0000-00001C000000}"/>
    <cellStyle name="40% - Accent4 2 2" xfId="190" xr:uid="{00000000-0005-0000-0000-00001D000000}"/>
    <cellStyle name="40% - Accent5" xfId="37" builtinId="47" customBuiltin="1"/>
    <cellStyle name="40% - Accent5 2" xfId="54" xr:uid="{00000000-0005-0000-0000-00001F000000}"/>
    <cellStyle name="40% - Accent5 2 2" xfId="191" xr:uid="{00000000-0005-0000-0000-000020000000}"/>
    <cellStyle name="40% - Accent6" xfId="41" builtinId="51" customBuiltin="1"/>
    <cellStyle name="40% - Accent6 2" xfId="55" xr:uid="{00000000-0005-0000-0000-000022000000}"/>
    <cellStyle name="40% - Accent6 2 2" xfId="192" xr:uid="{00000000-0005-0000-0000-000023000000}"/>
    <cellStyle name="60% - Accent1" xfId="22" builtinId="32" customBuiltin="1"/>
    <cellStyle name="60% - Accent1 2" xfId="56" xr:uid="{00000000-0005-0000-0000-000025000000}"/>
    <cellStyle name="60% - Accent2" xfId="26" builtinId="36" customBuiltin="1"/>
    <cellStyle name="60% - Accent2 2" xfId="57" xr:uid="{00000000-0005-0000-0000-000027000000}"/>
    <cellStyle name="60% - Accent3" xfId="30" builtinId="40" customBuiltin="1"/>
    <cellStyle name="60% - Accent3 2" xfId="58" xr:uid="{00000000-0005-0000-0000-000029000000}"/>
    <cellStyle name="60% - Accent4" xfId="34" builtinId="44" customBuiltin="1"/>
    <cellStyle name="60% - Accent4 2" xfId="59" xr:uid="{00000000-0005-0000-0000-00002B000000}"/>
    <cellStyle name="60% - Accent5" xfId="38" builtinId="48" customBuiltin="1"/>
    <cellStyle name="60% - Accent5 2" xfId="60" xr:uid="{00000000-0005-0000-0000-00002D000000}"/>
    <cellStyle name="60% - Accent6" xfId="42" builtinId="52" customBuiltin="1"/>
    <cellStyle name="60% - Accent6 2" xfId="61" xr:uid="{00000000-0005-0000-0000-00002F000000}"/>
    <cellStyle name="Accent1" xfId="19" builtinId="29" customBuiltin="1"/>
    <cellStyle name="Accent1 2" xfId="62" xr:uid="{00000000-0005-0000-0000-000031000000}"/>
    <cellStyle name="Accent2" xfId="23" builtinId="33" customBuiltin="1"/>
    <cellStyle name="Accent2 2" xfId="63" xr:uid="{00000000-0005-0000-0000-000033000000}"/>
    <cellStyle name="Accent3" xfId="27" builtinId="37" customBuiltin="1"/>
    <cellStyle name="Accent3 2" xfId="64" xr:uid="{00000000-0005-0000-0000-000035000000}"/>
    <cellStyle name="Accent4" xfId="31" builtinId="41" customBuiltin="1"/>
    <cellStyle name="Accent4 2" xfId="65" xr:uid="{00000000-0005-0000-0000-000037000000}"/>
    <cellStyle name="Accent5" xfId="35" builtinId="45" customBuiltin="1"/>
    <cellStyle name="Accent5 2" xfId="66" xr:uid="{00000000-0005-0000-0000-000039000000}"/>
    <cellStyle name="Accent6" xfId="39" builtinId="49" customBuiltin="1"/>
    <cellStyle name="Accent6 2" xfId="67" xr:uid="{00000000-0005-0000-0000-00003B000000}"/>
    <cellStyle name="assumption 1" xfId="95" xr:uid="{00000000-0005-0000-0000-00003C000000}"/>
    <cellStyle name="Assumption 2" xfId="96" xr:uid="{00000000-0005-0000-0000-00003D000000}"/>
    <cellStyle name="Assumption 3" xfId="97" xr:uid="{00000000-0005-0000-0000-00003E000000}"/>
    <cellStyle name="Assumption Date" xfId="98" xr:uid="{00000000-0005-0000-0000-00003F000000}"/>
    <cellStyle name="Bad" xfId="8" builtinId="27" customBuiltin="1"/>
    <cellStyle name="Bad 2" xfId="68" xr:uid="{00000000-0005-0000-0000-000041000000}"/>
    <cellStyle name="BMM_Data Input" xfId="99" xr:uid="{00000000-0005-0000-0000-000042000000}"/>
    <cellStyle name="Calculation" xfId="12" builtinId="22" customBuiltin="1"/>
    <cellStyle name="Calculation 2" xfId="69" xr:uid="{00000000-0005-0000-0000-000044000000}"/>
    <cellStyle name="cells" xfId="193" xr:uid="{00000000-0005-0000-0000-000045000000}"/>
    <cellStyle name="cells 2" xfId="194" xr:uid="{00000000-0005-0000-0000-000046000000}"/>
    <cellStyle name="cells 2 2" xfId="195" xr:uid="{00000000-0005-0000-0000-000047000000}"/>
    <cellStyle name="Check Cell" xfId="14" builtinId="23" customBuiltin="1"/>
    <cellStyle name="Check Cell 2" xfId="70" xr:uid="{00000000-0005-0000-0000-000049000000}"/>
    <cellStyle name="column field" xfId="196" xr:uid="{00000000-0005-0000-0000-00004A000000}"/>
    <cellStyle name="column field 2" xfId="197" xr:uid="{00000000-0005-0000-0000-00004B000000}"/>
    <cellStyle name="column field 2 2" xfId="198" xr:uid="{00000000-0005-0000-0000-00004C000000}"/>
    <cellStyle name="Comma" xfId="225" builtinId="3"/>
    <cellStyle name="Comma 2" xfId="89" xr:uid="{00000000-0005-0000-0000-00004E000000}"/>
    <cellStyle name="Comma 2 2" xfId="200" xr:uid="{00000000-0005-0000-0000-00004F000000}"/>
    <cellStyle name="Comma 3" xfId="93" xr:uid="{00000000-0005-0000-0000-000050000000}"/>
    <cellStyle name="Comma 3 2" xfId="162" xr:uid="{00000000-0005-0000-0000-000051000000}"/>
    <cellStyle name="Comma 3 3" xfId="199" xr:uid="{00000000-0005-0000-0000-000052000000}"/>
    <cellStyle name="Comma 4" xfId="148" xr:uid="{00000000-0005-0000-0000-000053000000}"/>
    <cellStyle name="Comma 5" xfId="85" xr:uid="{00000000-0005-0000-0000-000054000000}"/>
    <cellStyle name="Currency [0] U" xfId="100" xr:uid="{00000000-0005-0000-0000-000055000000}"/>
    <cellStyle name="Currency [2]" xfId="101" xr:uid="{00000000-0005-0000-0000-000056000000}"/>
    <cellStyle name="Currency [2] U" xfId="102" xr:uid="{00000000-0005-0000-0000-000057000000}"/>
    <cellStyle name="Currency 2" xfId="90" xr:uid="{00000000-0005-0000-0000-000058000000}"/>
    <cellStyle name="Currency 3" xfId="86" xr:uid="{00000000-0005-0000-0000-000059000000}"/>
    <cellStyle name="Currency 4" xfId="167" xr:uid="{00000000-0005-0000-0000-00005A000000}"/>
    <cellStyle name="Currency 5" xfId="171" xr:uid="{00000000-0005-0000-0000-00005B000000}"/>
    <cellStyle name="Data Input" xfId="103" xr:uid="{00000000-0005-0000-0000-00005C000000}"/>
    <cellStyle name="Date" xfId="104" xr:uid="{00000000-0005-0000-0000-00005D000000}"/>
    <cellStyle name="Date U" xfId="105" xr:uid="{00000000-0005-0000-0000-00005E000000}"/>
    <cellStyle name="Decimal [0]" xfId="106" xr:uid="{00000000-0005-0000-0000-00005F000000}"/>
    <cellStyle name="Decimal [2]" xfId="107" xr:uid="{00000000-0005-0000-0000-000060000000}"/>
    <cellStyle name="Decimal [2] U" xfId="108" xr:uid="{00000000-0005-0000-0000-000061000000}"/>
    <cellStyle name="Decimal [4]" xfId="109" xr:uid="{00000000-0005-0000-0000-000062000000}"/>
    <cellStyle name="Decimal [4] U" xfId="110" xr:uid="{00000000-0005-0000-0000-000063000000}"/>
    <cellStyle name="Explanatory Text" xfId="17" builtinId="53" customBuiltin="1"/>
    <cellStyle name="Explanatory Text 2" xfId="71" xr:uid="{00000000-0005-0000-0000-000065000000}"/>
    <cellStyle name="field" xfId="201" xr:uid="{00000000-0005-0000-0000-000066000000}"/>
    <cellStyle name="field 2" xfId="202" xr:uid="{00000000-0005-0000-0000-000067000000}"/>
    <cellStyle name="field 2 2" xfId="203" xr:uid="{00000000-0005-0000-0000-000068000000}"/>
    <cellStyle name="field names" xfId="204" xr:uid="{00000000-0005-0000-0000-000069000000}"/>
    <cellStyle name="Fill" xfId="226" xr:uid="{00000000-0005-0000-0000-00006A000000}"/>
    <cellStyle name="footer" xfId="205" xr:uid="{00000000-0005-0000-0000-00006B000000}"/>
    <cellStyle name="Good" xfId="7" builtinId="26" customBuiltin="1"/>
    <cellStyle name="Good 2" xfId="72" xr:uid="{00000000-0005-0000-0000-00006D000000}"/>
    <cellStyle name="Grey" xfId="111" xr:uid="{00000000-0005-0000-0000-00006E000000}"/>
    <cellStyle name="Growth Factor" xfId="112" xr:uid="{00000000-0005-0000-0000-00006F000000}"/>
    <cellStyle name="Hash Out" xfId="113" xr:uid="{00000000-0005-0000-0000-000070000000}"/>
    <cellStyle name="Heading" xfId="177" xr:uid="{00000000-0005-0000-0000-000071000000}"/>
    <cellStyle name="Heading 1" xfId="3" builtinId="16" customBuiltin="1"/>
    <cellStyle name="Heading 1 2" xfId="73" xr:uid="{00000000-0005-0000-0000-000073000000}"/>
    <cellStyle name="Heading 2" xfId="4" builtinId="17" customBuiltin="1"/>
    <cellStyle name="Heading 2 2" xfId="74" xr:uid="{00000000-0005-0000-0000-000075000000}"/>
    <cellStyle name="Heading 3" xfId="5" builtinId="18" customBuiltin="1"/>
    <cellStyle name="Heading 3 2" xfId="75" xr:uid="{00000000-0005-0000-0000-000077000000}"/>
    <cellStyle name="Heading 4" xfId="6" builtinId="19" customBuiltin="1"/>
    <cellStyle name="Heading 4 2" xfId="76" xr:uid="{00000000-0005-0000-0000-000079000000}"/>
    <cellStyle name="heading 5" xfId="206" xr:uid="{00000000-0005-0000-0000-00007A000000}"/>
    <cellStyle name="Heading1" xfId="178" xr:uid="{00000000-0005-0000-0000-00007B000000}"/>
    <cellStyle name="Hyperlink 2" xfId="94" xr:uid="{00000000-0005-0000-0000-00007C000000}"/>
    <cellStyle name="Hyperlink 2 2" xfId="207" xr:uid="{00000000-0005-0000-0000-00007D000000}"/>
    <cellStyle name="Hyperlink 3" xfId="173" xr:uid="{00000000-0005-0000-0000-00007E000000}"/>
    <cellStyle name="Input" xfId="10" builtinId="20" customBuiltin="1"/>
    <cellStyle name="Input (Date)" xfId="114" xr:uid="{00000000-0005-0000-0000-000080000000}"/>
    <cellStyle name="Input (StyleA)" xfId="115" xr:uid="{00000000-0005-0000-0000-000081000000}"/>
    <cellStyle name="Input [yellow]" xfId="116" xr:uid="{00000000-0005-0000-0000-000082000000}"/>
    <cellStyle name="Input 2" xfId="77" xr:uid="{00000000-0005-0000-0000-000083000000}"/>
    <cellStyle name="Input 3" xfId="165" xr:uid="{00000000-0005-0000-0000-000084000000}"/>
    <cellStyle name="Input 4" xfId="169" xr:uid="{00000000-0005-0000-0000-000085000000}"/>
    <cellStyle name="Linked Cell" xfId="13" builtinId="24" customBuiltin="1"/>
    <cellStyle name="Linked Cell 2" xfId="78" xr:uid="{00000000-0005-0000-0000-000087000000}"/>
    <cellStyle name="MAJOR ROW HEADING" xfId="117" xr:uid="{00000000-0005-0000-0000-000088000000}"/>
    <cellStyle name="MINOR ROW HEADING" xfId="118" xr:uid="{00000000-0005-0000-0000-000089000000}"/>
    <cellStyle name="Neutral" xfId="9" builtinId="28" customBuiltin="1"/>
    <cellStyle name="Neutral 2" xfId="79" xr:uid="{00000000-0005-0000-0000-00008B000000}"/>
    <cellStyle name="Normal" xfId="0" builtinId="0"/>
    <cellStyle name="Normal - Style1" xfId="119" xr:uid="{00000000-0005-0000-0000-00008D000000}"/>
    <cellStyle name="Normal 10" xfId="155" xr:uid="{00000000-0005-0000-0000-00008E000000}"/>
    <cellStyle name="Normal 11" xfId="43" xr:uid="{00000000-0005-0000-0000-00008F000000}"/>
    <cellStyle name="Normal 12" xfId="164" xr:uid="{00000000-0005-0000-0000-000090000000}"/>
    <cellStyle name="Normal 13" xfId="166" xr:uid="{00000000-0005-0000-0000-000091000000}"/>
    <cellStyle name="Normal 14" xfId="172" xr:uid="{00000000-0005-0000-0000-000092000000}"/>
    <cellStyle name="Normal 15" xfId="174" xr:uid="{00000000-0005-0000-0000-000093000000}"/>
    <cellStyle name="Normal 16" xfId="175" xr:uid="{00000000-0005-0000-0000-000094000000}"/>
    <cellStyle name="Normal 2" xfId="88" xr:uid="{00000000-0005-0000-0000-000095000000}"/>
    <cellStyle name="Normal 2 2" xfId="158" xr:uid="{00000000-0005-0000-0000-000096000000}"/>
    <cellStyle name="Normal 2 2 2" xfId="159" xr:uid="{00000000-0005-0000-0000-000097000000}"/>
    <cellStyle name="Normal 2 3" xfId="160" xr:uid="{00000000-0005-0000-0000-000098000000}"/>
    <cellStyle name="Normal 2 4" xfId="153" xr:uid="{00000000-0005-0000-0000-000099000000}"/>
    <cellStyle name="Normal 3" xfId="91" xr:uid="{00000000-0005-0000-0000-00009A000000}"/>
    <cellStyle name="Normal 3 2" xfId="151" xr:uid="{00000000-0005-0000-0000-00009B000000}"/>
    <cellStyle name="Normal 3 2 2" xfId="161" xr:uid="{00000000-0005-0000-0000-00009C000000}"/>
    <cellStyle name="Normal 3 2 3" xfId="208" xr:uid="{00000000-0005-0000-0000-00009D000000}"/>
    <cellStyle name="Normal 3 3" xfId="154" xr:uid="{00000000-0005-0000-0000-00009E000000}"/>
    <cellStyle name="Normal 4" xfId="141" xr:uid="{00000000-0005-0000-0000-00009F000000}"/>
    <cellStyle name="Normal 4 2" xfId="157" xr:uid="{00000000-0005-0000-0000-0000A0000000}"/>
    <cellStyle name="Normal 4 2 2" xfId="210" xr:uid="{00000000-0005-0000-0000-0000A1000000}"/>
    <cellStyle name="Normal 4 3" xfId="209" xr:uid="{00000000-0005-0000-0000-0000A2000000}"/>
    <cellStyle name="Normal 4 4" xfId="176" xr:uid="{00000000-0005-0000-0000-0000A3000000}"/>
    <cellStyle name="Normal 5" xfId="142" xr:uid="{00000000-0005-0000-0000-0000A4000000}"/>
    <cellStyle name="Normal 5 2" xfId="211" xr:uid="{00000000-0005-0000-0000-0000A5000000}"/>
    <cellStyle name="Normal 6" xfId="143" xr:uid="{00000000-0005-0000-0000-0000A6000000}"/>
    <cellStyle name="Normal 6 2" xfId="213" xr:uid="{00000000-0005-0000-0000-0000A7000000}"/>
    <cellStyle name="Normal 6 3" xfId="212" xr:uid="{00000000-0005-0000-0000-0000A8000000}"/>
    <cellStyle name="Normal 7" xfId="145" xr:uid="{00000000-0005-0000-0000-0000A9000000}"/>
    <cellStyle name="Normal 7 2" xfId="214" xr:uid="{00000000-0005-0000-0000-0000AA000000}"/>
    <cellStyle name="Normal 8" xfId="149" xr:uid="{00000000-0005-0000-0000-0000AB000000}"/>
    <cellStyle name="Normal 8 2" xfId="215" xr:uid="{00000000-0005-0000-0000-0000AC000000}"/>
    <cellStyle name="Normal 9" xfId="152" xr:uid="{00000000-0005-0000-0000-0000AD000000}"/>
    <cellStyle name="Normal U" xfId="120" xr:uid="{00000000-0005-0000-0000-0000AE000000}"/>
    <cellStyle name="Note" xfId="16" builtinId="10" customBuiltin="1"/>
    <cellStyle name="Note 2" xfId="80" xr:uid="{00000000-0005-0000-0000-0000B0000000}"/>
    <cellStyle name="Note 2 2" xfId="217" xr:uid="{00000000-0005-0000-0000-0000B1000000}"/>
    <cellStyle name="Note 3" xfId="218" xr:uid="{00000000-0005-0000-0000-0000B2000000}"/>
    <cellStyle name="Note 4" xfId="216" xr:uid="{00000000-0005-0000-0000-0000B3000000}"/>
    <cellStyle name="Output" xfId="11" builtinId="21" customBuiltin="1"/>
    <cellStyle name="Output 2" xfId="81" xr:uid="{00000000-0005-0000-0000-0000B5000000}"/>
    <cellStyle name="Percent" xfId="1" builtinId="5"/>
    <cellStyle name="Percent [2]" xfId="121" xr:uid="{00000000-0005-0000-0000-0000B7000000}"/>
    <cellStyle name="Percent [2] U" xfId="122" xr:uid="{00000000-0005-0000-0000-0000B8000000}"/>
    <cellStyle name="Percent [2]_SGV" xfId="123" xr:uid="{00000000-0005-0000-0000-0000B9000000}"/>
    <cellStyle name="Percent 10" xfId="170" xr:uid="{00000000-0005-0000-0000-0000BA000000}"/>
    <cellStyle name="Percent 2" xfId="92" xr:uid="{00000000-0005-0000-0000-0000BB000000}"/>
    <cellStyle name="Percent 2 2" xfId="150" xr:uid="{00000000-0005-0000-0000-0000BC000000}"/>
    <cellStyle name="Percent 3" xfId="144" xr:uid="{00000000-0005-0000-0000-0000BD000000}"/>
    <cellStyle name="Percent 4" xfId="146" xr:uid="{00000000-0005-0000-0000-0000BE000000}"/>
    <cellStyle name="Percent 5" xfId="147" xr:uid="{00000000-0005-0000-0000-0000BF000000}"/>
    <cellStyle name="Percent 6" xfId="156" xr:uid="{00000000-0005-0000-0000-0000C0000000}"/>
    <cellStyle name="Percent 7" xfId="163" xr:uid="{00000000-0005-0000-0000-0000C1000000}"/>
    <cellStyle name="Percent 8" xfId="87" xr:uid="{00000000-0005-0000-0000-0000C2000000}"/>
    <cellStyle name="Percent 9" xfId="168" xr:uid="{00000000-0005-0000-0000-0000C3000000}"/>
    <cellStyle name="Result" xfId="179" xr:uid="{00000000-0005-0000-0000-0000C4000000}"/>
    <cellStyle name="Result2" xfId="180" xr:uid="{00000000-0005-0000-0000-0000C5000000}"/>
    <cellStyle name="rowfield" xfId="219" xr:uid="{00000000-0005-0000-0000-0000C6000000}"/>
    <cellStyle name="rowfield 2" xfId="220" xr:uid="{00000000-0005-0000-0000-0000C7000000}"/>
    <cellStyle name="rowfield 2 2" xfId="221" xr:uid="{00000000-0005-0000-0000-0000C8000000}"/>
    <cellStyle name="secondary" xfId="124" xr:uid="{00000000-0005-0000-0000-0000C9000000}"/>
    <cellStyle name="Style 1" xfId="125" xr:uid="{00000000-0005-0000-0000-0000CA000000}"/>
    <cellStyle name="SUBMINOR ROW HEADING" xfId="126" xr:uid="{00000000-0005-0000-0000-0000CB000000}"/>
    <cellStyle name="Switch" xfId="127" xr:uid="{00000000-0005-0000-0000-0000CC000000}"/>
    <cellStyle name="Table Heading" xfId="128" xr:uid="{00000000-0005-0000-0000-0000CD000000}"/>
    <cellStyle name="Test" xfId="222" xr:uid="{00000000-0005-0000-0000-0000CE000000}"/>
    <cellStyle name="Test 2" xfId="223" xr:uid="{00000000-0005-0000-0000-0000CF000000}"/>
    <cellStyle name="Test 2 2" xfId="224" xr:uid="{00000000-0005-0000-0000-0000D0000000}"/>
    <cellStyle name="Title" xfId="2" builtinId="15" customBuiltin="1"/>
    <cellStyle name="Title 2" xfId="82" xr:uid="{00000000-0005-0000-0000-0000D2000000}"/>
    <cellStyle name="TitleBars" xfId="129" xr:uid="{00000000-0005-0000-0000-0000D3000000}"/>
    <cellStyle name="Total" xfId="18" builtinId="25" customBuiltin="1"/>
    <cellStyle name="Total 1" xfId="130" xr:uid="{00000000-0005-0000-0000-0000D5000000}"/>
    <cellStyle name="Total 2" xfId="131" xr:uid="{00000000-0005-0000-0000-0000D6000000}"/>
    <cellStyle name="Total 3" xfId="132" xr:uid="{00000000-0005-0000-0000-0000D7000000}"/>
    <cellStyle name="Total 4" xfId="133" xr:uid="{00000000-0005-0000-0000-0000D8000000}"/>
    <cellStyle name="Total 5" xfId="83" xr:uid="{00000000-0005-0000-0000-0000D9000000}"/>
    <cellStyle name="Tusental (0)_pldt" xfId="134" xr:uid="{00000000-0005-0000-0000-0000DA000000}"/>
    <cellStyle name="Tusental_pldt" xfId="135" xr:uid="{00000000-0005-0000-0000-0000DB000000}"/>
    <cellStyle name="unique" xfId="136" xr:uid="{00000000-0005-0000-0000-0000DC000000}"/>
    <cellStyle name="Usual" xfId="137" xr:uid="{00000000-0005-0000-0000-0000DD000000}"/>
    <cellStyle name="Valuta (0)_pldt" xfId="138" xr:uid="{00000000-0005-0000-0000-0000DE000000}"/>
    <cellStyle name="Valuta_pldt" xfId="139" xr:uid="{00000000-0005-0000-0000-0000DF000000}"/>
    <cellStyle name="Warning" xfId="140" xr:uid="{00000000-0005-0000-0000-0000E0000000}"/>
    <cellStyle name="Warning Text" xfId="15" builtinId="11" customBuiltin="1"/>
    <cellStyle name="Warning Text 2" xfId="84" xr:uid="{00000000-0005-0000-0000-0000E2000000}"/>
  </cellStyles>
  <dxfs count="0"/>
  <tableStyles count="0" defaultTableStyle="TableStyleMedium2" defaultPivotStyle="PivotStyleLight16"/>
  <colors>
    <mruColors>
      <color rgb="FF4C4C57"/>
      <color rgb="FF64CCC9"/>
      <color rgb="FF002664"/>
      <color rgb="FF0069B4"/>
      <color rgb="FF00A7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41272949215007"/>
          <c:y val="8.5547634478289045E-2"/>
          <c:w val="0.72529099478120684"/>
          <c:h val="0.82065247676833664"/>
        </c:manualLayout>
      </c:layout>
      <c:barChart>
        <c:barDir val="col"/>
        <c:grouping val="stacked"/>
        <c:varyColors val="0"/>
        <c:ser>
          <c:idx val="0"/>
          <c:order val="0"/>
          <c:tx>
            <c:strRef>
              <c:f>'IRI scale'!$B$1</c:f>
              <c:strCache>
                <c:ptCount val="1"/>
                <c:pt idx="0">
                  <c:v>low</c:v>
                </c:pt>
              </c:strCache>
            </c:strRef>
          </c:tx>
          <c:spPr>
            <a:noFill/>
            <a:ln>
              <a:noFill/>
            </a:ln>
            <a:effectLst/>
          </c:spPr>
          <c:invertIfNegative val="0"/>
          <c:cat>
            <c:strRef>
              <c:f>'IRI scale'!$A$2:$A$7</c:f>
              <c:strCache>
                <c:ptCount val="6"/>
                <c:pt idx="0">
                  <c:v>Airport runways &amp; superhighways</c:v>
                </c:pt>
                <c:pt idx="1">
                  <c:v>New pavements</c:v>
                </c:pt>
                <c:pt idx="2">
                  <c:v>Older pavements</c:v>
                </c:pt>
                <c:pt idx="3">
                  <c:v>Maintained unpaved roads</c:v>
                </c:pt>
                <c:pt idx="4">
                  <c:v>Damaged pavements</c:v>
                </c:pt>
                <c:pt idx="5">
                  <c:v>Rough unpaved roads</c:v>
                </c:pt>
              </c:strCache>
            </c:strRef>
          </c:cat>
          <c:val>
            <c:numRef>
              <c:f>'IRI scale'!$B$2:$B$7</c:f>
              <c:numCache>
                <c:formatCode>General</c:formatCode>
                <c:ptCount val="6"/>
                <c:pt idx="0">
                  <c:v>0</c:v>
                </c:pt>
                <c:pt idx="1">
                  <c:v>1.5</c:v>
                </c:pt>
                <c:pt idx="2">
                  <c:v>2.5</c:v>
                </c:pt>
                <c:pt idx="3">
                  <c:v>3.5</c:v>
                </c:pt>
                <c:pt idx="4">
                  <c:v>4</c:v>
                </c:pt>
                <c:pt idx="5">
                  <c:v>8</c:v>
                </c:pt>
              </c:numCache>
            </c:numRef>
          </c:val>
          <c:extLst>
            <c:ext xmlns:c16="http://schemas.microsoft.com/office/drawing/2014/chart" uri="{C3380CC4-5D6E-409C-BE32-E72D297353CC}">
              <c16:uniqueId val="{00000000-0936-4544-B350-16114CF50F27}"/>
            </c:ext>
          </c:extLst>
        </c:ser>
        <c:ser>
          <c:idx val="1"/>
          <c:order val="1"/>
          <c:tx>
            <c:strRef>
              <c:f>'IRI scale'!$C$1</c:f>
              <c:strCache>
                <c:ptCount val="1"/>
                <c:pt idx="0">
                  <c:v>high</c:v>
                </c:pt>
              </c:strCache>
            </c:strRef>
          </c:tx>
          <c:spPr>
            <a:solidFill>
              <a:srgbClr val="C00000"/>
            </a:solidFill>
            <a:ln>
              <a:noFill/>
            </a:ln>
            <a:effectLst/>
          </c:spPr>
          <c:invertIfNegative val="0"/>
          <c:cat>
            <c:strRef>
              <c:f>'IRI scale'!$A$2:$A$7</c:f>
              <c:strCache>
                <c:ptCount val="6"/>
                <c:pt idx="0">
                  <c:v>Airport runways &amp; superhighways</c:v>
                </c:pt>
                <c:pt idx="1">
                  <c:v>New pavements</c:v>
                </c:pt>
                <c:pt idx="2">
                  <c:v>Older pavements</c:v>
                </c:pt>
                <c:pt idx="3">
                  <c:v>Maintained unpaved roads</c:v>
                </c:pt>
                <c:pt idx="4">
                  <c:v>Damaged pavements</c:v>
                </c:pt>
                <c:pt idx="5">
                  <c:v>Rough unpaved roads</c:v>
                </c:pt>
              </c:strCache>
            </c:strRef>
          </c:cat>
          <c:val>
            <c:numRef>
              <c:f>'IRI scale'!$D$2:$D$7</c:f>
              <c:numCache>
                <c:formatCode>General</c:formatCode>
                <c:ptCount val="6"/>
                <c:pt idx="0">
                  <c:v>2</c:v>
                </c:pt>
                <c:pt idx="1">
                  <c:v>2</c:v>
                </c:pt>
                <c:pt idx="2">
                  <c:v>3.5</c:v>
                </c:pt>
                <c:pt idx="3">
                  <c:v>6.5</c:v>
                </c:pt>
                <c:pt idx="4">
                  <c:v>7</c:v>
                </c:pt>
                <c:pt idx="5">
                  <c:v>8</c:v>
                </c:pt>
              </c:numCache>
            </c:numRef>
          </c:val>
          <c:extLst>
            <c:ext xmlns:c16="http://schemas.microsoft.com/office/drawing/2014/chart" uri="{C3380CC4-5D6E-409C-BE32-E72D297353CC}">
              <c16:uniqueId val="{00000001-0936-4544-B350-16114CF50F27}"/>
            </c:ext>
          </c:extLst>
        </c:ser>
        <c:dLbls>
          <c:showLegendKey val="0"/>
          <c:showVal val="0"/>
          <c:showCatName val="0"/>
          <c:showSerName val="0"/>
          <c:showPercent val="0"/>
          <c:showBubbleSize val="0"/>
        </c:dLbls>
        <c:gapWidth val="219"/>
        <c:overlap val="100"/>
        <c:axId val="387052072"/>
        <c:axId val="387054816"/>
      </c:barChart>
      <c:catAx>
        <c:axId val="38705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387054816"/>
        <c:crosses val="autoZero"/>
        <c:auto val="1"/>
        <c:lblAlgn val="ctr"/>
        <c:lblOffset val="100"/>
        <c:noMultiLvlLbl val="0"/>
      </c:catAx>
      <c:valAx>
        <c:axId val="387054816"/>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crossAx val="3870520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Additional inputs'!A1"/><Relationship Id="rId2" Type="http://schemas.openxmlformats.org/officeDocument/2006/relationships/hyperlink" Target="#Calculator!A1"/><Relationship Id="rId1" Type="http://schemas.openxmlformats.org/officeDocument/2006/relationships/hyperlink" Target="#'User guide'!A1"/><Relationship Id="rId6" Type="http://schemas.openxmlformats.org/officeDocument/2006/relationships/image" Target="../media/image1.jpeg"/><Relationship Id="rId5" Type="http://schemas.openxmlformats.org/officeDocument/2006/relationships/hyperlink" Target="#'fuel coefficients'!A1"/><Relationship Id="rId4" Type="http://schemas.openxmlformats.org/officeDocument/2006/relationships/hyperlink" Target="#'VOC coefficients'!A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69851</xdr:colOff>
      <xdr:row>13</xdr:row>
      <xdr:rowOff>55791</xdr:rowOff>
    </xdr:from>
    <xdr:to>
      <xdr:col>6</xdr:col>
      <xdr:colOff>1127617</xdr:colOff>
      <xdr:row>15</xdr:row>
      <xdr:rowOff>108859</xdr:rowOff>
    </xdr:to>
    <xdr:sp macro="[0]!Instructions" textlink="">
      <xdr:nvSpPr>
        <xdr:cNvPr id="2" name="Pentagon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311911" y="3393351"/>
          <a:ext cx="4829666" cy="418828"/>
        </a:xfrm>
        <a:prstGeom prst="homePlate">
          <a:avLst>
            <a:gd name="adj" fmla="val 1368"/>
          </a:avLst>
        </a:prstGeom>
        <a:solidFill>
          <a:schemeClr val="bg1">
            <a:lumMod val="8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1600" b="1" baseline="0">
              <a:solidFill>
                <a:srgbClr val="4C4C57"/>
              </a:solidFill>
              <a:latin typeface="Arial" panose="020B0604020202020204" pitchFamily="34" charset="0"/>
              <a:cs typeface="Arial" panose="020B0604020202020204" pitchFamily="34" charset="0"/>
            </a:rPr>
            <a:t>User guide</a:t>
          </a:r>
        </a:p>
      </xdr:txBody>
    </xdr:sp>
    <xdr:clientData/>
  </xdr:twoCellAnchor>
  <xdr:twoCellAnchor>
    <xdr:from>
      <xdr:col>3</xdr:col>
      <xdr:colOff>69851</xdr:colOff>
      <xdr:row>16</xdr:row>
      <xdr:rowOff>26521</xdr:rowOff>
    </xdr:from>
    <xdr:to>
      <xdr:col>6</xdr:col>
      <xdr:colOff>605791</xdr:colOff>
      <xdr:row>18</xdr:row>
      <xdr:rowOff>67850</xdr:rowOff>
    </xdr:to>
    <xdr:sp macro="[0]!Parameters" textlink="">
      <xdr:nvSpPr>
        <xdr:cNvPr id="3" name="Pentagon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334771" y="4499461"/>
          <a:ext cx="3522980" cy="407089"/>
        </a:xfrm>
        <a:prstGeom prst="homePlate">
          <a:avLst>
            <a:gd name="adj" fmla="val 0"/>
          </a:avLst>
        </a:prstGeom>
        <a:solidFill>
          <a:schemeClr val="bg1">
            <a:lumMod val="8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1600" b="1">
              <a:solidFill>
                <a:srgbClr val="4C4C57"/>
              </a:solidFill>
              <a:latin typeface="Arial" panose="020B0604020202020204" pitchFamily="34" charset="0"/>
              <a:cs typeface="Arial" panose="020B0604020202020204" pitchFamily="34" charset="0"/>
            </a:rPr>
            <a:t>Calculator</a:t>
          </a:r>
        </a:p>
      </xdr:txBody>
    </xdr:sp>
    <xdr:clientData/>
  </xdr:twoCellAnchor>
  <xdr:twoCellAnchor>
    <xdr:from>
      <xdr:col>3</xdr:col>
      <xdr:colOff>69850</xdr:colOff>
      <xdr:row>18</xdr:row>
      <xdr:rowOff>168392</xdr:rowOff>
    </xdr:from>
    <xdr:to>
      <xdr:col>6</xdr:col>
      <xdr:colOff>609392</xdr:colOff>
      <xdr:row>21</xdr:row>
      <xdr:rowOff>34776</xdr:rowOff>
    </xdr:to>
    <xdr:sp macro="[0]!Summary" textlink="">
      <xdr:nvSpPr>
        <xdr:cNvPr id="4" name="Pentagon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1334770" y="5007092"/>
          <a:ext cx="3526582" cy="415024"/>
        </a:xfrm>
        <a:prstGeom prst="homePlate">
          <a:avLst>
            <a:gd name="adj" fmla="val 0"/>
          </a:avLst>
        </a:prstGeom>
        <a:solidFill>
          <a:schemeClr val="bg1">
            <a:lumMod val="8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1600" b="1">
              <a:solidFill>
                <a:srgbClr val="4C4C57"/>
              </a:solidFill>
              <a:latin typeface="Arial" panose="020B0604020202020204" pitchFamily="34" charset="0"/>
              <a:cs typeface="Arial" panose="020B0604020202020204" pitchFamily="34" charset="0"/>
            </a:rPr>
            <a:t>Additional inputs</a:t>
          </a:r>
        </a:p>
      </xdr:txBody>
    </xdr:sp>
    <xdr:clientData/>
  </xdr:twoCellAnchor>
  <xdr:twoCellAnchor>
    <xdr:from>
      <xdr:col>3</xdr:col>
      <xdr:colOff>69850</xdr:colOff>
      <xdr:row>21</xdr:row>
      <xdr:rowOff>135317</xdr:rowOff>
    </xdr:from>
    <xdr:to>
      <xdr:col>6</xdr:col>
      <xdr:colOff>608169</xdr:colOff>
      <xdr:row>23</xdr:row>
      <xdr:rowOff>177136</xdr:rowOff>
    </xdr:to>
    <xdr:sp macro="[0]!OptionCaseCBA" textlink="">
      <xdr:nvSpPr>
        <xdr:cNvPr id="5" name="Pentagon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1334770" y="5522657"/>
          <a:ext cx="3525359" cy="407579"/>
        </a:xfrm>
        <a:prstGeom prst="homePlate">
          <a:avLst>
            <a:gd name="adj" fmla="val 0"/>
          </a:avLst>
        </a:prstGeom>
        <a:solidFill>
          <a:schemeClr val="bg1">
            <a:lumMod val="8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1600" b="1">
              <a:solidFill>
                <a:srgbClr val="4C4C57"/>
              </a:solidFill>
              <a:latin typeface="Arial" panose="020B0604020202020204" pitchFamily="34" charset="0"/>
              <a:cs typeface="Arial" panose="020B0604020202020204" pitchFamily="34" charset="0"/>
            </a:rPr>
            <a:t>Vehicle</a:t>
          </a:r>
          <a:r>
            <a:rPr lang="en-AU" sz="1600" b="1" baseline="0">
              <a:solidFill>
                <a:srgbClr val="4C4C57"/>
              </a:solidFill>
              <a:latin typeface="Arial" panose="020B0604020202020204" pitchFamily="34" charset="0"/>
              <a:cs typeface="Arial" panose="020B0604020202020204" pitchFamily="34" charset="0"/>
            </a:rPr>
            <a:t> operating cost model c</a:t>
          </a:r>
          <a:r>
            <a:rPr lang="en-AU" sz="1600" b="1">
              <a:solidFill>
                <a:srgbClr val="4C4C57"/>
              </a:solidFill>
              <a:latin typeface="Arial" panose="020B0604020202020204" pitchFamily="34" charset="0"/>
              <a:cs typeface="Arial" panose="020B0604020202020204" pitchFamily="34" charset="0"/>
            </a:rPr>
            <a:t>oefficients</a:t>
          </a:r>
        </a:p>
      </xdr:txBody>
    </xdr:sp>
    <xdr:clientData/>
  </xdr:twoCellAnchor>
  <xdr:twoCellAnchor>
    <xdr:from>
      <xdr:col>3</xdr:col>
      <xdr:colOff>69850</xdr:colOff>
      <xdr:row>24</xdr:row>
      <xdr:rowOff>94797</xdr:rowOff>
    </xdr:from>
    <xdr:to>
      <xdr:col>6</xdr:col>
      <xdr:colOff>1129627</xdr:colOff>
      <xdr:row>26</xdr:row>
      <xdr:rowOff>175986</xdr:rowOff>
    </xdr:to>
    <xdr:sp macro="[0]!OptionCaseCBA" textlink="">
      <xdr:nvSpPr>
        <xdr:cNvPr id="6" name="Pentagon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1311910" y="5444037"/>
          <a:ext cx="4831677" cy="446949"/>
        </a:xfrm>
        <a:prstGeom prst="homePlate">
          <a:avLst>
            <a:gd name="adj" fmla="val 0"/>
          </a:avLst>
        </a:prstGeom>
        <a:solidFill>
          <a:schemeClr val="bg1">
            <a:lumMod val="8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AU" sz="1600" b="1">
              <a:solidFill>
                <a:srgbClr val="4C4C57"/>
              </a:solidFill>
              <a:latin typeface="Arial" panose="020B0604020202020204" pitchFamily="34" charset="0"/>
              <a:cs typeface="Arial" panose="020B0604020202020204" pitchFamily="34" charset="0"/>
            </a:rPr>
            <a:t>Fuel consumption </a:t>
          </a:r>
          <a:r>
            <a:rPr lang="en-AU" sz="1600" b="1" baseline="0">
              <a:solidFill>
                <a:srgbClr val="4C4C57"/>
              </a:solidFill>
              <a:latin typeface="Arial" panose="020B0604020202020204" pitchFamily="34" charset="0"/>
              <a:cs typeface="Arial" panose="020B0604020202020204" pitchFamily="34" charset="0"/>
            </a:rPr>
            <a:t>model c</a:t>
          </a:r>
          <a:r>
            <a:rPr lang="en-AU" sz="1600" b="1">
              <a:solidFill>
                <a:srgbClr val="4C4C57"/>
              </a:solidFill>
              <a:latin typeface="Arial" panose="020B0604020202020204" pitchFamily="34" charset="0"/>
              <a:cs typeface="Arial" panose="020B0604020202020204" pitchFamily="34" charset="0"/>
            </a:rPr>
            <a:t>oefficients</a:t>
          </a:r>
        </a:p>
      </xdr:txBody>
    </xdr:sp>
    <xdr:clientData/>
  </xdr:twoCellAnchor>
  <xdr:oneCellAnchor>
    <xdr:from>
      <xdr:col>3</xdr:col>
      <xdr:colOff>104322</xdr:colOff>
      <xdr:row>1</xdr:row>
      <xdr:rowOff>88900</xdr:rowOff>
    </xdr:from>
    <xdr:ext cx="3162300" cy="1006182"/>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46382" y="271780"/>
          <a:ext cx="3162300" cy="1006182"/>
        </a:xfrm>
        <a:prstGeom prst="rect">
          <a:avLst/>
        </a:prstGeom>
      </xdr:spPr>
    </xdr:pic>
    <xdr:clientData/>
  </xdr:oneCellAnchor>
  <xdr:twoCellAnchor>
    <xdr:from>
      <xdr:col>6</xdr:col>
      <xdr:colOff>1190625</xdr:colOff>
      <xdr:row>33</xdr:row>
      <xdr:rowOff>219075</xdr:rowOff>
    </xdr:from>
    <xdr:to>
      <xdr:col>6</xdr:col>
      <xdr:colOff>1543050</xdr:colOff>
      <xdr:row>35</xdr:row>
      <xdr:rowOff>0</xdr:rowOff>
    </xdr:to>
    <xdr:sp macro="" textlink="">
      <xdr:nvSpPr>
        <xdr:cNvPr id="8" name="Rectangle 66">
          <a:extLst>
            <a:ext uri="{FF2B5EF4-FFF2-40B4-BE49-F238E27FC236}">
              <a16:creationId xmlns:a16="http://schemas.microsoft.com/office/drawing/2014/main" id="{00000000-0008-0000-0000-000008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9" name="Rectangle 66">
          <a:extLst>
            <a:ext uri="{FF2B5EF4-FFF2-40B4-BE49-F238E27FC236}">
              <a16:creationId xmlns:a16="http://schemas.microsoft.com/office/drawing/2014/main" id="{00000000-0008-0000-0000-000009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0" name="Rectangle 66">
          <a:extLst>
            <a:ext uri="{FF2B5EF4-FFF2-40B4-BE49-F238E27FC236}">
              <a16:creationId xmlns:a16="http://schemas.microsoft.com/office/drawing/2014/main" id="{00000000-0008-0000-0000-00000A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1" name="Rectangle 66">
          <a:extLst>
            <a:ext uri="{FF2B5EF4-FFF2-40B4-BE49-F238E27FC236}">
              <a16:creationId xmlns:a16="http://schemas.microsoft.com/office/drawing/2014/main" id="{00000000-0008-0000-0000-00000B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2" name="Rectangle 66">
          <a:extLst>
            <a:ext uri="{FF2B5EF4-FFF2-40B4-BE49-F238E27FC236}">
              <a16:creationId xmlns:a16="http://schemas.microsoft.com/office/drawing/2014/main" id="{00000000-0008-0000-0000-00000C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3" name="Rectangle 66">
          <a:extLst>
            <a:ext uri="{FF2B5EF4-FFF2-40B4-BE49-F238E27FC236}">
              <a16:creationId xmlns:a16="http://schemas.microsoft.com/office/drawing/2014/main" id="{00000000-0008-0000-0000-00000D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4" name="Rectangle 66">
          <a:extLst>
            <a:ext uri="{FF2B5EF4-FFF2-40B4-BE49-F238E27FC236}">
              <a16:creationId xmlns:a16="http://schemas.microsoft.com/office/drawing/2014/main" id="{00000000-0008-0000-0000-00000E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5" name="Rectangle 66">
          <a:extLst>
            <a:ext uri="{FF2B5EF4-FFF2-40B4-BE49-F238E27FC236}">
              <a16:creationId xmlns:a16="http://schemas.microsoft.com/office/drawing/2014/main" id="{00000000-0008-0000-0000-00000F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6" name="Rectangle 66">
          <a:extLst>
            <a:ext uri="{FF2B5EF4-FFF2-40B4-BE49-F238E27FC236}">
              <a16:creationId xmlns:a16="http://schemas.microsoft.com/office/drawing/2014/main" id="{00000000-0008-0000-0000-000010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7" name="Rectangle 66">
          <a:extLst>
            <a:ext uri="{FF2B5EF4-FFF2-40B4-BE49-F238E27FC236}">
              <a16:creationId xmlns:a16="http://schemas.microsoft.com/office/drawing/2014/main" id="{00000000-0008-0000-0000-000011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8" name="Rectangle 66">
          <a:extLst>
            <a:ext uri="{FF2B5EF4-FFF2-40B4-BE49-F238E27FC236}">
              <a16:creationId xmlns:a16="http://schemas.microsoft.com/office/drawing/2014/main" id="{00000000-0008-0000-0000-000012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19" name="Rectangle 66">
          <a:extLst>
            <a:ext uri="{FF2B5EF4-FFF2-40B4-BE49-F238E27FC236}">
              <a16:creationId xmlns:a16="http://schemas.microsoft.com/office/drawing/2014/main" id="{00000000-0008-0000-0000-000013000000}"/>
            </a:ext>
          </a:extLst>
        </xdr:cNvPr>
        <xdr:cNvSpPr>
          <a:spLocks noChangeArrowheads="1"/>
        </xdr:cNvSpPr>
      </xdr:nvSpPr>
      <xdr:spPr bwMode="auto">
        <a:xfrm>
          <a:off x="49472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33</xdr:row>
      <xdr:rowOff>219075</xdr:rowOff>
    </xdr:from>
    <xdr:to>
      <xdr:col>4</xdr:col>
      <xdr:colOff>1543050</xdr:colOff>
      <xdr:row>35</xdr:row>
      <xdr:rowOff>0</xdr:rowOff>
    </xdr:to>
    <xdr:sp macro="" textlink="">
      <xdr:nvSpPr>
        <xdr:cNvPr id="20" name="Rectangle 66">
          <a:extLst>
            <a:ext uri="{FF2B5EF4-FFF2-40B4-BE49-F238E27FC236}">
              <a16:creationId xmlns:a16="http://schemas.microsoft.com/office/drawing/2014/main" id="{00000000-0008-0000-0000-000014000000}"/>
            </a:ext>
          </a:extLst>
        </xdr:cNvPr>
        <xdr:cNvSpPr>
          <a:spLocks noChangeArrowheads="1"/>
        </xdr:cNvSpPr>
      </xdr:nvSpPr>
      <xdr:spPr bwMode="auto">
        <a:xfrm>
          <a:off x="36899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21" name="Rectangle 66">
          <a:extLst>
            <a:ext uri="{FF2B5EF4-FFF2-40B4-BE49-F238E27FC236}">
              <a16:creationId xmlns:a16="http://schemas.microsoft.com/office/drawing/2014/main" id="{00000000-0008-0000-0000-000015000000}"/>
            </a:ext>
          </a:extLst>
        </xdr:cNvPr>
        <xdr:cNvSpPr>
          <a:spLocks noChangeArrowheads="1"/>
        </xdr:cNvSpPr>
      </xdr:nvSpPr>
      <xdr:spPr bwMode="auto">
        <a:xfrm>
          <a:off x="49472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22" name="Rectangle 66">
          <a:extLst>
            <a:ext uri="{FF2B5EF4-FFF2-40B4-BE49-F238E27FC236}">
              <a16:creationId xmlns:a16="http://schemas.microsoft.com/office/drawing/2014/main" id="{00000000-0008-0000-0000-000016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3" name="Rectangle 66">
          <a:extLst>
            <a:ext uri="{FF2B5EF4-FFF2-40B4-BE49-F238E27FC236}">
              <a16:creationId xmlns:a16="http://schemas.microsoft.com/office/drawing/2014/main" id="{00000000-0008-0000-0000-000017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24" name="Rectangle 66">
          <a:extLst>
            <a:ext uri="{FF2B5EF4-FFF2-40B4-BE49-F238E27FC236}">
              <a16:creationId xmlns:a16="http://schemas.microsoft.com/office/drawing/2014/main" id="{00000000-0008-0000-0000-000018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5" name="Rectangle 66">
          <a:extLst>
            <a:ext uri="{FF2B5EF4-FFF2-40B4-BE49-F238E27FC236}">
              <a16:creationId xmlns:a16="http://schemas.microsoft.com/office/drawing/2014/main" id="{00000000-0008-0000-0000-000019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26" name="Rectangle 66">
          <a:extLst>
            <a:ext uri="{FF2B5EF4-FFF2-40B4-BE49-F238E27FC236}">
              <a16:creationId xmlns:a16="http://schemas.microsoft.com/office/drawing/2014/main" id="{00000000-0008-0000-0000-00001A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7" name="Rectangle 66">
          <a:extLst>
            <a:ext uri="{FF2B5EF4-FFF2-40B4-BE49-F238E27FC236}">
              <a16:creationId xmlns:a16="http://schemas.microsoft.com/office/drawing/2014/main" id="{00000000-0008-0000-0000-00001B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3257550</xdr:colOff>
      <xdr:row>34</xdr:row>
      <xdr:rowOff>0</xdr:rowOff>
    </xdr:from>
    <xdr:to>
      <xdr:col>6</xdr:col>
      <xdr:colOff>3609975</xdr:colOff>
      <xdr:row>36</xdr:row>
      <xdr:rowOff>19050</xdr:rowOff>
    </xdr:to>
    <xdr:sp macro="" textlink="">
      <xdr:nvSpPr>
        <xdr:cNvPr id="28" name="Rectangle 67">
          <a:extLst>
            <a:ext uri="{FF2B5EF4-FFF2-40B4-BE49-F238E27FC236}">
              <a16:creationId xmlns:a16="http://schemas.microsoft.com/office/drawing/2014/main" id="{00000000-0008-0000-0000-00001C000000}"/>
            </a:ext>
          </a:extLst>
        </xdr:cNvPr>
        <xdr:cNvSpPr>
          <a:spLocks noChangeArrowheads="1"/>
        </xdr:cNvSpPr>
      </xdr:nvSpPr>
      <xdr:spPr bwMode="auto">
        <a:xfrm>
          <a:off x="6267450" y="7178040"/>
          <a:ext cx="1905" cy="384810"/>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9" name="Rectangle 66">
          <a:extLst>
            <a:ext uri="{FF2B5EF4-FFF2-40B4-BE49-F238E27FC236}">
              <a16:creationId xmlns:a16="http://schemas.microsoft.com/office/drawing/2014/main" id="{00000000-0008-0000-0000-00001D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30" name="Rectangle 66">
          <a:extLst>
            <a:ext uri="{FF2B5EF4-FFF2-40B4-BE49-F238E27FC236}">
              <a16:creationId xmlns:a16="http://schemas.microsoft.com/office/drawing/2014/main" id="{00000000-0008-0000-0000-00001E000000}"/>
            </a:ext>
          </a:extLst>
        </xdr:cNvPr>
        <xdr:cNvSpPr>
          <a:spLocks noChangeArrowheads="1"/>
        </xdr:cNvSpPr>
      </xdr:nvSpPr>
      <xdr:spPr bwMode="auto">
        <a:xfrm>
          <a:off x="49472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33</xdr:row>
      <xdr:rowOff>219075</xdr:rowOff>
    </xdr:from>
    <xdr:to>
      <xdr:col>4</xdr:col>
      <xdr:colOff>1543050</xdr:colOff>
      <xdr:row>35</xdr:row>
      <xdr:rowOff>0</xdr:rowOff>
    </xdr:to>
    <xdr:sp macro="" textlink="">
      <xdr:nvSpPr>
        <xdr:cNvPr id="31" name="Rectangle 66">
          <a:extLst>
            <a:ext uri="{FF2B5EF4-FFF2-40B4-BE49-F238E27FC236}">
              <a16:creationId xmlns:a16="http://schemas.microsoft.com/office/drawing/2014/main" id="{00000000-0008-0000-0000-00001F000000}"/>
            </a:ext>
          </a:extLst>
        </xdr:cNvPr>
        <xdr:cNvSpPr>
          <a:spLocks noChangeArrowheads="1"/>
        </xdr:cNvSpPr>
      </xdr:nvSpPr>
      <xdr:spPr bwMode="auto">
        <a:xfrm>
          <a:off x="36899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32" name="Rectangle 66">
          <a:extLst>
            <a:ext uri="{FF2B5EF4-FFF2-40B4-BE49-F238E27FC236}">
              <a16:creationId xmlns:a16="http://schemas.microsoft.com/office/drawing/2014/main" id="{00000000-0008-0000-0000-000020000000}"/>
            </a:ext>
          </a:extLst>
        </xdr:cNvPr>
        <xdr:cNvSpPr>
          <a:spLocks noChangeArrowheads="1"/>
        </xdr:cNvSpPr>
      </xdr:nvSpPr>
      <xdr:spPr bwMode="auto">
        <a:xfrm>
          <a:off x="49472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33" name="Rectangle 66">
          <a:extLst>
            <a:ext uri="{FF2B5EF4-FFF2-40B4-BE49-F238E27FC236}">
              <a16:creationId xmlns:a16="http://schemas.microsoft.com/office/drawing/2014/main" id="{00000000-0008-0000-0000-000021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4" name="Rectangle 66">
          <a:extLst>
            <a:ext uri="{FF2B5EF4-FFF2-40B4-BE49-F238E27FC236}">
              <a16:creationId xmlns:a16="http://schemas.microsoft.com/office/drawing/2014/main" id="{00000000-0008-0000-0000-000022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35" name="Rectangle 66">
          <a:extLst>
            <a:ext uri="{FF2B5EF4-FFF2-40B4-BE49-F238E27FC236}">
              <a16:creationId xmlns:a16="http://schemas.microsoft.com/office/drawing/2014/main" id="{00000000-0008-0000-0000-000023000000}"/>
            </a:ext>
          </a:extLst>
        </xdr:cNvPr>
        <xdr:cNvSpPr>
          <a:spLocks noChangeArrowheads="1"/>
        </xdr:cNvSpPr>
      </xdr:nvSpPr>
      <xdr:spPr bwMode="auto">
        <a:xfrm>
          <a:off x="62045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6" name="Rectangle 66">
          <a:extLst>
            <a:ext uri="{FF2B5EF4-FFF2-40B4-BE49-F238E27FC236}">
              <a16:creationId xmlns:a16="http://schemas.microsoft.com/office/drawing/2014/main" id="{00000000-0008-0000-0000-000024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7" name="Rectangle 66">
          <a:extLst>
            <a:ext uri="{FF2B5EF4-FFF2-40B4-BE49-F238E27FC236}">
              <a16:creationId xmlns:a16="http://schemas.microsoft.com/office/drawing/2014/main" id="{00000000-0008-0000-0000-000025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8" name="Rectangle 66">
          <a:extLst>
            <a:ext uri="{FF2B5EF4-FFF2-40B4-BE49-F238E27FC236}">
              <a16:creationId xmlns:a16="http://schemas.microsoft.com/office/drawing/2014/main" id="{00000000-0008-0000-0000-000026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9" name="Rectangle 66">
          <a:extLst>
            <a:ext uri="{FF2B5EF4-FFF2-40B4-BE49-F238E27FC236}">
              <a16:creationId xmlns:a16="http://schemas.microsoft.com/office/drawing/2014/main" id="{00000000-0008-0000-0000-000027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40" name="Rectangle 66">
          <a:extLst>
            <a:ext uri="{FF2B5EF4-FFF2-40B4-BE49-F238E27FC236}">
              <a16:creationId xmlns:a16="http://schemas.microsoft.com/office/drawing/2014/main" id="{00000000-0008-0000-0000-000028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41" name="Rectangle 66">
          <a:extLst>
            <a:ext uri="{FF2B5EF4-FFF2-40B4-BE49-F238E27FC236}">
              <a16:creationId xmlns:a16="http://schemas.microsoft.com/office/drawing/2014/main" id="{00000000-0008-0000-0000-000029000000}"/>
            </a:ext>
          </a:extLst>
        </xdr:cNvPr>
        <xdr:cNvSpPr>
          <a:spLocks noChangeArrowheads="1"/>
        </xdr:cNvSpPr>
      </xdr:nvSpPr>
      <xdr:spPr bwMode="auto">
        <a:xfrm>
          <a:off x="49472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42" name="Rectangle 66">
          <a:extLst>
            <a:ext uri="{FF2B5EF4-FFF2-40B4-BE49-F238E27FC236}">
              <a16:creationId xmlns:a16="http://schemas.microsoft.com/office/drawing/2014/main" id="{00000000-0008-0000-0000-00002A000000}"/>
            </a:ext>
          </a:extLst>
        </xdr:cNvPr>
        <xdr:cNvSpPr>
          <a:spLocks noChangeArrowheads="1"/>
        </xdr:cNvSpPr>
      </xdr:nvSpPr>
      <xdr:spPr bwMode="auto">
        <a:xfrm>
          <a:off x="49472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43" name="Rectangle 66">
          <a:extLst>
            <a:ext uri="{FF2B5EF4-FFF2-40B4-BE49-F238E27FC236}">
              <a16:creationId xmlns:a16="http://schemas.microsoft.com/office/drawing/2014/main" id="{00000000-0008-0000-0000-00002B000000}"/>
            </a:ext>
          </a:extLst>
        </xdr:cNvPr>
        <xdr:cNvSpPr>
          <a:spLocks noChangeArrowheads="1"/>
        </xdr:cNvSpPr>
      </xdr:nvSpPr>
      <xdr:spPr bwMode="auto">
        <a:xfrm>
          <a:off x="2432685" y="7176135"/>
          <a:ext cx="6286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1190625</xdr:colOff>
      <xdr:row>53</xdr:row>
      <xdr:rowOff>219075</xdr:rowOff>
    </xdr:from>
    <xdr:to>
      <xdr:col>6</xdr:col>
      <xdr:colOff>1543050</xdr:colOff>
      <xdr:row>55</xdr:row>
      <xdr:rowOff>0</xdr:rowOff>
    </xdr:to>
    <xdr:sp macro="" textlink="">
      <xdr:nvSpPr>
        <xdr:cNvPr id="8" name="Rectangle 66">
          <a:extLst>
            <a:ext uri="{FF2B5EF4-FFF2-40B4-BE49-F238E27FC236}">
              <a16:creationId xmlns:a16="http://schemas.microsoft.com/office/drawing/2014/main" id="{00000000-0008-0000-0100-000008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9" name="Rectangle 66">
          <a:extLst>
            <a:ext uri="{FF2B5EF4-FFF2-40B4-BE49-F238E27FC236}">
              <a16:creationId xmlns:a16="http://schemas.microsoft.com/office/drawing/2014/main" id="{00000000-0008-0000-0100-000009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10" name="Rectangle 66">
          <a:extLst>
            <a:ext uri="{FF2B5EF4-FFF2-40B4-BE49-F238E27FC236}">
              <a16:creationId xmlns:a16="http://schemas.microsoft.com/office/drawing/2014/main" id="{00000000-0008-0000-0100-00000A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11" name="Rectangle 66">
          <a:extLst>
            <a:ext uri="{FF2B5EF4-FFF2-40B4-BE49-F238E27FC236}">
              <a16:creationId xmlns:a16="http://schemas.microsoft.com/office/drawing/2014/main" id="{00000000-0008-0000-0100-00000B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12" name="Rectangle 66">
          <a:extLst>
            <a:ext uri="{FF2B5EF4-FFF2-40B4-BE49-F238E27FC236}">
              <a16:creationId xmlns:a16="http://schemas.microsoft.com/office/drawing/2014/main" id="{00000000-0008-0000-0100-00000C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13" name="Rectangle 66">
          <a:extLst>
            <a:ext uri="{FF2B5EF4-FFF2-40B4-BE49-F238E27FC236}">
              <a16:creationId xmlns:a16="http://schemas.microsoft.com/office/drawing/2014/main" id="{00000000-0008-0000-0100-00000D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14" name="Rectangle 66">
          <a:extLst>
            <a:ext uri="{FF2B5EF4-FFF2-40B4-BE49-F238E27FC236}">
              <a16:creationId xmlns:a16="http://schemas.microsoft.com/office/drawing/2014/main" id="{00000000-0008-0000-0100-00000E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15" name="Rectangle 66">
          <a:extLst>
            <a:ext uri="{FF2B5EF4-FFF2-40B4-BE49-F238E27FC236}">
              <a16:creationId xmlns:a16="http://schemas.microsoft.com/office/drawing/2014/main" id="{00000000-0008-0000-0100-00000F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16" name="Rectangle 66">
          <a:extLst>
            <a:ext uri="{FF2B5EF4-FFF2-40B4-BE49-F238E27FC236}">
              <a16:creationId xmlns:a16="http://schemas.microsoft.com/office/drawing/2014/main" id="{00000000-0008-0000-0100-000010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17" name="Rectangle 66">
          <a:extLst>
            <a:ext uri="{FF2B5EF4-FFF2-40B4-BE49-F238E27FC236}">
              <a16:creationId xmlns:a16="http://schemas.microsoft.com/office/drawing/2014/main" id="{00000000-0008-0000-0100-000011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18" name="Rectangle 66">
          <a:extLst>
            <a:ext uri="{FF2B5EF4-FFF2-40B4-BE49-F238E27FC236}">
              <a16:creationId xmlns:a16="http://schemas.microsoft.com/office/drawing/2014/main" id="{00000000-0008-0000-0100-000012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53</xdr:row>
      <xdr:rowOff>219075</xdr:rowOff>
    </xdr:from>
    <xdr:to>
      <xdr:col>5</xdr:col>
      <xdr:colOff>1543050</xdr:colOff>
      <xdr:row>55</xdr:row>
      <xdr:rowOff>0</xdr:rowOff>
    </xdr:to>
    <xdr:sp macro="" textlink="">
      <xdr:nvSpPr>
        <xdr:cNvPr id="19" name="Rectangle 66">
          <a:extLst>
            <a:ext uri="{FF2B5EF4-FFF2-40B4-BE49-F238E27FC236}">
              <a16:creationId xmlns:a16="http://schemas.microsoft.com/office/drawing/2014/main" id="{00000000-0008-0000-0100-000013000000}"/>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53</xdr:row>
      <xdr:rowOff>219075</xdr:rowOff>
    </xdr:from>
    <xdr:to>
      <xdr:col>4</xdr:col>
      <xdr:colOff>1543050</xdr:colOff>
      <xdr:row>55</xdr:row>
      <xdr:rowOff>0</xdr:rowOff>
    </xdr:to>
    <xdr:sp macro="" textlink="">
      <xdr:nvSpPr>
        <xdr:cNvPr id="20" name="Rectangle 66">
          <a:extLst>
            <a:ext uri="{FF2B5EF4-FFF2-40B4-BE49-F238E27FC236}">
              <a16:creationId xmlns:a16="http://schemas.microsoft.com/office/drawing/2014/main" id="{00000000-0008-0000-0100-000014000000}"/>
            </a:ext>
          </a:extLst>
        </xdr:cNvPr>
        <xdr:cNvSpPr>
          <a:spLocks noChangeArrowheads="1"/>
        </xdr:cNvSpPr>
      </xdr:nvSpPr>
      <xdr:spPr bwMode="auto">
        <a:xfrm>
          <a:off x="36442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53</xdr:row>
      <xdr:rowOff>219075</xdr:rowOff>
    </xdr:from>
    <xdr:to>
      <xdr:col>5</xdr:col>
      <xdr:colOff>1543050</xdr:colOff>
      <xdr:row>55</xdr:row>
      <xdr:rowOff>0</xdr:rowOff>
    </xdr:to>
    <xdr:sp macro="" textlink="">
      <xdr:nvSpPr>
        <xdr:cNvPr id="21" name="Rectangle 66">
          <a:extLst>
            <a:ext uri="{FF2B5EF4-FFF2-40B4-BE49-F238E27FC236}">
              <a16:creationId xmlns:a16="http://schemas.microsoft.com/office/drawing/2014/main" id="{00000000-0008-0000-0100-000015000000}"/>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22" name="Rectangle 66">
          <a:extLst>
            <a:ext uri="{FF2B5EF4-FFF2-40B4-BE49-F238E27FC236}">
              <a16:creationId xmlns:a16="http://schemas.microsoft.com/office/drawing/2014/main" id="{00000000-0008-0000-0100-000016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23" name="Rectangle 66">
          <a:extLst>
            <a:ext uri="{FF2B5EF4-FFF2-40B4-BE49-F238E27FC236}">
              <a16:creationId xmlns:a16="http://schemas.microsoft.com/office/drawing/2014/main" id="{00000000-0008-0000-0100-000017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24" name="Rectangle 66">
          <a:extLst>
            <a:ext uri="{FF2B5EF4-FFF2-40B4-BE49-F238E27FC236}">
              <a16:creationId xmlns:a16="http://schemas.microsoft.com/office/drawing/2014/main" id="{00000000-0008-0000-0100-000018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25" name="Rectangle 66">
          <a:extLst>
            <a:ext uri="{FF2B5EF4-FFF2-40B4-BE49-F238E27FC236}">
              <a16:creationId xmlns:a16="http://schemas.microsoft.com/office/drawing/2014/main" id="{00000000-0008-0000-0100-000019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26" name="Rectangle 66">
          <a:extLst>
            <a:ext uri="{FF2B5EF4-FFF2-40B4-BE49-F238E27FC236}">
              <a16:creationId xmlns:a16="http://schemas.microsoft.com/office/drawing/2014/main" id="{00000000-0008-0000-0100-00001A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27" name="Rectangle 66">
          <a:extLst>
            <a:ext uri="{FF2B5EF4-FFF2-40B4-BE49-F238E27FC236}">
              <a16:creationId xmlns:a16="http://schemas.microsoft.com/office/drawing/2014/main" id="{00000000-0008-0000-0100-00001B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3257550</xdr:colOff>
      <xdr:row>54</xdr:row>
      <xdr:rowOff>0</xdr:rowOff>
    </xdr:from>
    <xdr:to>
      <xdr:col>6</xdr:col>
      <xdr:colOff>3609975</xdr:colOff>
      <xdr:row>56</xdr:row>
      <xdr:rowOff>19050</xdr:rowOff>
    </xdr:to>
    <xdr:sp macro="" textlink="">
      <xdr:nvSpPr>
        <xdr:cNvPr id="28" name="Rectangle 67">
          <a:extLst>
            <a:ext uri="{FF2B5EF4-FFF2-40B4-BE49-F238E27FC236}">
              <a16:creationId xmlns:a16="http://schemas.microsoft.com/office/drawing/2014/main" id="{00000000-0008-0000-0100-00001C000000}"/>
            </a:ext>
          </a:extLst>
        </xdr:cNvPr>
        <xdr:cNvSpPr>
          <a:spLocks noChangeArrowheads="1"/>
        </xdr:cNvSpPr>
      </xdr:nvSpPr>
      <xdr:spPr bwMode="auto">
        <a:xfrm>
          <a:off x="4857750" y="7802880"/>
          <a:ext cx="1905" cy="384810"/>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29" name="Rectangle 66">
          <a:extLst>
            <a:ext uri="{FF2B5EF4-FFF2-40B4-BE49-F238E27FC236}">
              <a16:creationId xmlns:a16="http://schemas.microsoft.com/office/drawing/2014/main" id="{00000000-0008-0000-0100-00001D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53</xdr:row>
      <xdr:rowOff>219075</xdr:rowOff>
    </xdr:from>
    <xdr:to>
      <xdr:col>5</xdr:col>
      <xdr:colOff>1543050</xdr:colOff>
      <xdr:row>55</xdr:row>
      <xdr:rowOff>0</xdr:rowOff>
    </xdr:to>
    <xdr:sp macro="" textlink="">
      <xdr:nvSpPr>
        <xdr:cNvPr id="30" name="Rectangle 66">
          <a:extLst>
            <a:ext uri="{FF2B5EF4-FFF2-40B4-BE49-F238E27FC236}">
              <a16:creationId xmlns:a16="http://schemas.microsoft.com/office/drawing/2014/main" id="{00000000-0008-0000-0100-00001E000000}"/>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53</xdr:row>
      <xdr:rowOff>219075</xdr:rowOff>
    </xdr:from>
    <xdr:to>
      <xdr:col>4</xdr:col>
      <xdr:colOff>1543050</xdr:colOff>
      <xdr:row>55</xdr:row>
      <xdr:rowOff>0</xdr:rowOff>
    </xdr:to>
    <xdr:sp macro="" textlink="">
      <xdr:nvSpPr>
        <xdr:cNvPr id="31" name="Rectangle 66">
          <a:extLst>
            <a:ext uri="{FF2B5EF4-FFF2-40B4-BE49-F238E27FC236}">
              <a16:creationId xmlns:a16="http://schemas.microsoft.com/office/drawing/2014/main" id="{00000000-0008-0000-0100-00001F000000}"/>
            </a:ext>
          </a:extLst>
        </xdr:cNvPr>
        <xdr:cNvSpPr>
          <a:spLocks noChangeArrowheads="1"/>
        </xdr:cNvSpPr>
      </xdr:nvSpPr>
      <xdr:spPr bwMode="auto">
        <a:xfrm>
          <a:off x="36442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53</xdr:row>
      <xdr:rowOff>219075</xdr:rowOff>
    </xdr:from>
    <xdr:to>
      <xdr:col>5</xdr:col>
      <xdr:colOff>1543050</xdr:colOff>
      <xdr:row>55</xdr:row>
      <xdr:rowOff>0</xdr:rowOff>
    </xdr:to>
    <xdr:sp macro="" textlink="">
      <xdr:nvSpPr>
        <xdr:cNvPr id="32" name="Rectangle 66">
          <a:extLst>
            <a:ext uri="{FF2B5EF4-FFF2-40B4-BE49-F238E27FC236}">
              <a16:creationId xmlns:a16="http://schemas.microsoft.com/office/drawing/2014/main" id="{00000000-0008-0000-0100-000020000000}"/>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33" name="Rectangle 66">
          <a:extLst>
            <a:ext uri="{FF2B5EF4-FFF2-40B4-BE49-F238E27FC236}">
              <a16:creationId xmlns:a16="http://schemas.microsoft.com/office/drawing/2014/main" id="{00000000-0008-0000-0100-000021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34" name="Rectangle 66">
          <a:extLst>
            <a:ext uri="{FF2B5EF4-FFF2-40B4-BE49-F238E27FC236}">
              <a16:creationId xmlns:a16="http://schemas.microsoft.com/office/drawing/2014/main" id="{00000000-0008-0000-0100-000022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53</xdr:row>
      <xdr:rowOff>219075</xdr:rowOff>
    </xdr:from>
    <xdr:to>
      <xdr:col>6</xdr:col>
      <xdr:colOff>1543050</xdr:colOff>
      <xdr:row>55</xdr:row>
      <xdr:rowOff>0</xdr:rowOff>
    </xdr:to>
    <xdr:sp macro="" textlink="">
      <xdr:nvSpPr>
        <xdr:cNvPr id="35" name="Rectangle 66">
          <a:extLst>
            <a:ext uri="{FF2B5EF4-FFF2-40B4-BE49-F238E27FC236}">
              <a16:creationId xmlns:a16="http://schemas.microsoft.com/office/drawing/2014/main" id="{00000000-0008-0000-0100-000023000000}"/>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36" name="Rectangle 66">
          <a:extLst>
            <a:ext uri="{FF2B5EF4-FFF2-40B4-BE49-F238E27FC236}">
              <a16:creationId xmlns:a16="http://schemas.microsoft.com/office/drawing/2014/main" id="{00000000-0008-0000-0100-000024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37" name="Rectangle 66">
          <a:extLst>
            <a:ext uri="{FF2B5EF4-FFF2-40B4-BE49-F238E27FC236}">
              <a16:creationId xmlns:a16="http://schemas.microsoft.com/office/drawing/2014/main" id="{00000000-0008-0000-0100-000025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38" name="Rectangle 66">
          <a:extLst>
            <a:ext uri="{FF2B5EF4-FFF2-40B4-BE49-F238E27FC236}">
              <a16:creationId xmlns:a16="http://schemas.microsoft.com/office/drawing/2014/main" id="{00000000-0008-0000-0100-000026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39" name="Rectangle 66">
          <a:extLst>
            <a:ext uri="{FF2B5EF4-FFF2-40B4-BE49-F238E27FC236}">
              <a16:creationId xmlns:a16="http://schemas.microsoft.com/office/drawing/2014/main" id="{00000000-0008-0000-0100-000027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40" name="Rectangle 66">
          <a:extLst>
            <a:ext uri="{FF2B5EF4-FFF2-40B4-BE49-F238E27FC236}">
              <a16:creationId xmlns:a16="http://schemas.microsoft.com/office/drawing/2014/main" id="{00000000-0008-0000-0100-000028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53</xdr:row>
      <xdr:rowOff>219075</xdr:rowOff>
    </xdr:from>
    <xdr:to>
      <xdr:col>5</xdr:col>
      <xdr:colOff>1543050</xdr:colOff>
      <xdr:row>55</xdr:row>
      <xdr:rowOff>0</xdr:rowOff>
    </xdr:to>
    <xdr:sp macro="" textlink="">
      <xdr:nvSpPr>
        <xdr:cNvPr id="41" name="Rectangle 66">
          <a:extLst>
            <a:ext uri="{FF2B5EF4-FFF2-40B4-BE49-F238E27FC236}">
              <a16:creationId xmlns:a16="http://schemas.microsoft.com/office/drawing/2014/main" id="{00000000-0008-0000-0100-000029000000}"/>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53</xdr:row>
      <xdr:rowOff>219075</xdr:rowOff>
    </xdr:from>
    <xdr:to>
      <xdr:col>5</xdr:col>
      <xdr:colOff>1543050</xdr:colOff>
      <xdr:row>55</xdr:row>
      <xdr:rowOff>0</xdr:rowOff>
    </xdr:to>
    <xdr:sp macro="" textlink="">
      <xdr:nvSpPr>
        <xdr:cNvPr id="42" name="Rectangle 66">
          <a:extLst>
            <a:ext uri="{FF2B5EF4-FFF2-40B4-BE49-F238E27FC236}">
              <a16:creationId xmlns:a16="http://schemas.microsoft.com/office/drawing/2014/main" id="{00000000-0008-0000-0100-00002A000000}"/>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53</xdr:row>
      <xdr:rowOff>219075</xdr:rowOff>
    </xdr:from>
    <xdr:to>
      <xdr:col>3</xdr:col>
      <xdr:colOff>1543050</xdr:colOff>
      <xdr:row>55</xdr:row>
      <xdr:rowOff>0</xdr:rowOff>
    </xdr:to>
    <xdr:sp macro="" textlink="">
      <xdr:nvSpPr>
        <xdr:cNvPr id="43" name="Rectangle 66">
          <a:extLst>
            <a:ext uri="{FF2B5EF4-FFF2-40B4-BE49-F238E27FC236}">
              <a16:creationId xmlns:a16="http://schemas.microsoft.com/office/drawing/2014/main" id="{00000000-0008-0000-0100-00002B00000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oneCellAnchor>
    <xdr:from>
      <xdr:col>3</xdr:col>
      <xdr:colOff>53975</xdr:colOff>
      <xdr:row>20</xdr:row>
      <xdr:rowOff>79375</xdr:rowOff>
    </xdr:from>
    <xdr:ext cx="4238276" cy="1622367"/>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296035" y="5481955"/>
              <a:ext cx="4238276" cy="1622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14:m>
                <m:oMathPara xmlns:m="http://schemas.openxmlformats.org/officeDocument/2006/math">
                  <m:oMathParaPr>
                    <m:jc m:val="left"/>
                  </m:oMathParaPr>
                  <m:oMath xmlns:m="http://schemas.openxmlformats.org/officeDocument/2006/math">
                    <m:r>
                      <m:rPr>
                        <m:sty m:val="p"/>
                      </m:rPr>
                      <a:rPr lang="en-AU" sz="1100" b="0" i="0">
                        <a:latin typeface="Cambria Math" panose="02040503050406030204" pitchFamily="18" charset="0"/>
                      </a:rPr>
                      <m:t>VOC</m:t>
                    </m:r>
                    <m:r>
                      <a:rPr lang="en-AU" sz="1100" b="0" i="0">
                        <a:latin typeface="Cambria Math" panose="02040503050406030204" pitchFamily="18" charset="0"/>
                      </a:rPr>
                      <m:t>=</m:t>
                    </m:r>
                    <m:r>
                      <m:rPr>
                        <m:sty m:val="p"/>
                      </m:rPr>
                      <a:rPr lang="en-AU" sz="1100" b="0" i="0">
                        <a:latin typeface="Cambria Math" panose="02040503050406030204" pitchFamily="18" charset="0"/>
                      </a:rPr>
                      <m:t>BaseVOC</m:t>
                    </m:r>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1</m:t>
                        </m:r>
                      </m:sub>
                    </m:sSub>
                    <m:r>
                      <a:rPr lang="en-AU" sz="1100" b="0" i="0">
                        <a:latin typeface="Cambria Math" panose="02040503050406030204" pitchFamily="18" charset="0"/>
                      </a:rPr>
                      <m:t>+</m:t>
                    </m:r>
                    <m:f>
                      <m:fPr>
                        <m:ctrlPr>
                          <a:rPr lang="en-AU" sz="1100" b="0" i="1">
                            <a:latin typeface="Cambria Math" panose="02040503050406030204" pitchFamily="18" charset="0"/>
                          </a:rPr>
                        </m:ctrlPr>
                      </m:fPr>
                      <m:num>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2</m:t>
                            </m:r>
                          </m:sub>
                        </m:sSub>
                      </m:num>
                      <m:den>
                        <m:r>
                          <m:rPr>
                            <m:sty m:val="p"/>
                          </m:rPr>
                          <a:rPr lang="en-AU" sz="1100" b="0" i="0">
                            <a:latin typeface="Cambria Math" panose="02040503050406030204" pitchFamily="18" charset="0"/>
                          </a:rPr>
                          <m:t>V</m:t>
                        </m:r>
                      </m:den>
                    </m:f>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3</m:t>
                        </m:r>
                      </m:sub>
                    </m:sSub>
                    <m:sSup>
                      <m:sSupPr>
                        <m:ctrlPr>
                          <a:rPr lang="en-AU" sz="1100" b="0" i="1">
                            <a:latin typeface="Cambria Math" panose="02040503050406030204" pitchFamily="18" charset="0"/>
                          </a:rPr>
                        </m:ctrlPr>
                      </m:sSupPr>
                      <m:e>
                        <m:r>
                          <m:rPr>
                            <m:sty m:val="p"/>
                          </m:rPr>
                          <a:rPr lang="en-AU" sz="1100" b="0" i="0">
                            <a:latin typeface="Cambria Math" panose="02040503050406030204" pitchFamily="18" charset="0"/>
                          </a:rPr>
                          <m:t>V</m:t>
                        </m:r>
                      </m:e>
                      <m:sup>
                        <m:r>
                          <a:rPr lang="en-AU" sz="1100" b="0" i="0">
                            <a:latin typeface="Cambria Math" panose="02040503050406030204" pitchFamily="18" charset="0"/>
                          </a:rPr>
                          <m:t>2</m:t>
                        </m:r>
                      </m:sup>
                    </m:sSup>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4</m:t>
                        </m:r>
                      </m:sub>
                    </m:sSub>
                    <m:r>
                      <a:rPr lang="en-AU" sz="1100" b="0" i="0">
                        <a:latin typeface="Cambria Math" panose="02040503050406030204" pitchFamily="18" charset="0"/>
                      </a:rPr>
                      <m:t>∗</m:t>
                    </m:r>
                    <m:r>
                      <m:rPr>
                        <m:sty m:val="p"/>
                      </m:rPr>
                      <a:rPr lang="en-AU" sz="1100" b="0" i="0">
                        <a:latin typeface="Cambria Math" panose="02040503050406030204" pitchFamily="18" charset="0"/>
                      </a:rPr>
                      <m:t>IRI</m:t>
                    </m:r>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5</m:t>
                        </m:r>
                      </m:sub>
                    </m:sSub>
                    <m:r>
                      <a:rPr lang="en-AU" sz="1100" b="0" i="0">
                        <a:latin typeface="Cambria Math" panose="02040503050406030204" pitchFamily="18" charset="0"/>
                      </a:rPr>
                      <m:t>∗</m:t>
                    </m:r>
                    <m:r>
                      <m:rPr>
                        <m:sty m:val="p"/>
                      </m:rPr>
                      <a:rPr lang="en-AU" sz="1100" b="0" i="0">
                        <a:latin typeface="Cambria Math" panose="02040503050406030204" pitchFamily="18" charset="0"/>
                      </a:rPr>
                      <m:t>IR</m:t>
                    </m:r>
                    <m:sSup>
                      <m:sSupPr>
                        <m:ctrlPr>
                          <a:rPr lang="en-AU" sz="1100" b="0" i="1">
                            <a:latin typeface="Cambria Math" panose="02040503050406030204" pitchFamily="18" charset="0"/>
                          </a:rPr>
                        </m:ctrlPr>
                      </m:sSupPr>
                      <m:e>
                        <m:r>
                          <m:rPr>
                            <m:sty m:val="p"/>
                          </m:rPr>
                          <a:rPr lang="en-AU" sz="1100" b="0" i="0">
                            <a:latin typeface="Cambria Math" panose="02040503050406030204" pitchFamily="18" charset="0"/>
                          </a:rPr>
                          <m:t>I</m:t>
                        </m:r>
                      </m:e>
                      <m:sup>
                        <m:r>
                          <a:rPr lang="en-AU" sz="1100" b="0" i="0">
                            <a:latin typeface="Cambria Math" panose="02040503050406030204" pitchFamily="18" charset="0"/>
                          </a:rPr>
                          <m:t>2</m:t>
                        </m:r>
                      </m:sup>
                    </m:sSup>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6</m:t>
                        </m:r>
                      </m:sub>
                    </m:sSub>
                    <m:r>
                      <a:rPr lang="en-AU" sz="1100" b="0" i="0">
                        <a:latin typeface="Cambria Math" panose="02040503050406030204" pitchFamily="18" charset="0"/>
                      </a:rPr>
                      <m:t>∗</m:t>
                    </m:r>
                    <m:r>
                      <m:rPr>
                        <m:sty m:val="p"/>
                      </m:rPr>
                      <a:rPr lang="en-AU" sz="1100" b="0" i="0">
                        <a:latin typeface="Cambria Math" panose="02040503050406030204" pitchFamily="18" charset="0"/>
                      </a:rPr>
                      <m:t>GVM</m:t>
                    </m:r>
                    <m:r>
                      <a:rPr lang="en-AU" sz="1100" b="0" i="0">
                        <a:latin typeface="Cambria Math" panose="02040503050406030204" pitchFamily="18" charset="0"/>
                      </a:rPr>
                      <m:t>)</m:t>
                    </m:r>
                  </m:oMath>
                </m:oMathPara>
              </a14:m>
              <a:endParaRPr lang="en-AU" sz="1100" b="0" i="0">
                <a:latin typeface="Arial" panose="020B0604020202020204" pitchFamily="34" charset="0"/>
                <a:cs typeface="Arial" panose="020B0604020202020204" pitchFamily="34" charset="0"/>
              </a:endParaRPr>
            </a:p>
            <a:p>
              <a:pPr algn="l"/>
              <a:endParaRPr lang="en-AU" sz="1100" i="0">
                <a:latin typeface="Arial" panose="020B0604020202020204" pitchFamily="34" charset="0"/>
                <a:cs typeface="Arial" panose="020B0604020202020204" pitchFamily="34" charset="0"/>
              </a:endParaRPr>
            </a:p>
            <a:p>
              <a:pPr algn="l"/>
              <a:r>
                <a:rPr lang="en-AU" sz="1100" i="0">
                  <a:latin typeface="Arial" panose="020B0604020202020204" pitchFamily="34" charset="0"/>
                  <a:cs typeface="Arial" panose="020B0604020202020204" pitchFamily="34" charset="0"/>
                </a:rPr>
                <a:t>Where: </a:t>
              </a:r>
            </a:p>
            <a:p>
              <a:pPr algn="l"/>
              <a:r>
                <a:rPr lang="en-AU" sz="1100" b="0" i="0">
                  <a:latin typeface="Arial" panose="020B0604020202020204" pitchFamily="34" charset="0"/>
                  <a:cs typeface="Arial" panose="020B0604020202020204" pitchFamily="34" charset="0"/>
                </a:rPr>
                <a:t>VOC</a:t>
              </a:r>
              <a:r>
                <a:rPr lang="en-AU" sz="1100" b="0" i="0" baseline="0">
                  <a:latin typeface="Arial" panose="020B0604020202020204" pitchFamily="34" charset="0"/>
                  <a:cs typeface="Arial" panose="020B0604020202020204" pitchFamily="34" charset="0"/>
                </a:rPr>
                <a:t> </a:t>
              </a:r>
              <a:r>
                <a:rPr lang="en-AU" sz="1100" i="0" baseline="0">
                  <a:latin typeface="Arial" panose="020B0604020202020204" pitchFamily="34" charset="0"/>
                  <a:cs typeface="Arial" panose="020B0604020202020204" pitchFamily="34" charset="0"/>
                </a:rPr>
                <a:t>= vehicle operating costs in cents/km</a:t>
              </a:r>
            </a:p>
            <a:p>
              <a:pPr algn="l"/>
              <a:r>
                <a:rPr lang="en-AU" sz="1100" b="0" i="0">
                  <a:latin typeface="Arial" panose="020B0604020202020204" pitchFamily="34" charset="0"/>
                  <a:cs typeface="Arial" panose="020B0604020202020204" pitchFamily="34" charset="0"/>
                </a:rPr>
                <a:t>Base VOC </a:t>
              </a:r>
              <a:r>
                <a:rPr lang="en-AU" sz="1100" i="0">
                  <a:latin typeface="Arial" panose="020B0604020202020204" pitchFamily="34" charset="0"/>
                  <a:cs typeface="Arial" panose="020B0604020202020204" pitchFamily="34" charset="0"/>
                </a:rPr>
                <a:t>= lowest</a:t>
              </a:r>
              <a:r>
                <a:rPr lang="en-AU" sz="1100" i="0" baseline="0">
                  <a:latin typeface="Arial" panose="020B0604020202020204" pitchFamily="34" charset="0"/>
                  <a:cs typeface="Arial" panose="020B0604020202020204" pitchFamily="34" charset="0"/>
                </a:rPr>
                <a:t> VOC point in curve from raw HDM-4 output</a:t>
              </a:r>
            </a:p>
            <a:p>
              <a:pPr algn="l"/>
              <a:r>
                <a:rPr lang="en-AU" sz="1100" b="0" i="0" baseline="0">
                  <a:latin typeface="Arial" panose="020B0604020202020204" pitchFamily="34" charset="0"/>
                  <a:cs typeface="Arial" panose="020B0604020202020204" pitchFamily="34" charset="0"/>
                </a:rPr>
                <a:t>V </a:t>
              </a:r>
              <a:r>
                <a:rPr lang="en-AU" sz="1100" i="0" baseline="0">
                  <a:latin typeface="Arial" panose="020B0604020202020204" pitchFamily="34" charset="0"/>
                  <a:cs typeface="Arial" panose="020B0604020202020204" pitchFamily="34" charset="0"/>
                </a:rPr>
                <a:t>= Vehicle speed in km/h</a:t>
              </a:r>
            </a:p>
            <a:p>
              <a:pPr algn="l"/>
              <a:r>
                <a:rPr lang="en-AU" sz="1100" b="0" i="0" baseline="0">
                  <a:latin typeface="Arial" panose="020B0604020202020204" pitchFamily="34" charset="0"/>
                  <a:cs typeface="Arial" panose="020B0604020202020204" pitchFamily="34" charset="0"/>
                </a:rPr>
                <a:t>IRI </a:t>
              </a:r>
              <a:r>
                <a:rPr lang="en-AU" sz="1100" i="0" baseline="0">
                  <a:latin typeface="Arial" panose="020B0604020202020204" pitchFamily="34" charset="0"/>
                  <a:cs typeface="Arial" panose="020B0604020202020204" pitchFamily="34" charset="0"/>
                </a:rPr>
                <a:t>= International Roughness Index in m/km</a:t>
              </a:r>
            </a:p>
            <a:p>
              <a:pPr algn="l"/>
              <a:r>
                <a:rPr lang="en-AU" sz="1100" b="0" i="0" baseline="0">
                  <a:latin typeface="Arial" panose="020B0604020202020204" pitchFamily="34" charset="0"/>
                  <a:cs typeface="Arial" panose="020B0604020202020204" pitchFamily="34" charset="0"/>
                </a:rPr>
                <a:t>GVM</a:t>
              </a:r>
              <a:r>
                <a:rPr lang="en-AU" sz="1100" b="1" i="0" baseline="0">
                  <a:latin typeface="Arial" panose="020B0604020202020204" pitchFamily="34" charset="0"/>
                  <a:cs typeface="Arial" panose="020B0604020202020204" pitchFamily="34" charset="0"/>
                </a:rPr>
                <a:t> </a:t>
              </a:r>
              <a:r>
                <a:rPr lang="en-AU" sz="1100" i="0" baseline="0">
                  <a:latin typeface="Arial" panose="020B0604020202020204" pitchFamily="34" charset="0"/>
                  <a:cs typeface="Arial" panose="020B0604020202020204" pitchFamily="34" charset="0"/>
                </a:rPr>
                <a:t>= gross vehicle mass in tonnes</a:t>
              </a:r>
            </a:p>
            <a:p>
              <a:pPr algn="l"/>
              <a14:m>
                <m:oMath xmlns:m="http://schemas.openxmlformats.org/officeDocument/2006/math">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1</m:t>
                      </m:r>
                    </m:sub>
                  </m:sSub>
                  <m:r>
                    <m:rPr>
                      <m:sty m:val="p"/>
                    </m:rPr>
                    <a:rPr lang="en-AU" sz="1100" b="0" i="0">
                      <a:latin typeface="Cambria Math" panose="02040503050406030204" pitchFamily="18" charset="0"/>
                    </a:rPr>
                    <m:t>to</m:t>
                  </m:r>
                  <m:r>
                    <a:rPr lang="en-AU" sz="1100" b="0" i="0">
                      <a:latin typeface="Cambria Math" panose="02040503050406030204" pitchFamily="18" charset="0"/>
                    </a:rPr>
                    <m:t> </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6</m:t>
                      </m:r>
                    </m:sub>
                  </m:sSub>
                </m:oMath>
              </a14:m>
              <a:r>
                <a:rPr lang="en-AU" sz="1100" i="0">
                  <a:latin typeface="Arial" panose="020B0604020202020204" pitchFamily="34" charset="0"/>
                  <a:cs typeface="Arial" panose="020B0604020202020204" pitchFamily="34" charset="0"/>
                </a:rPr>
                <a:t> = model coefficients</a:t>
              </a:r>
            </a:p>
          </xdr:txBody>
        </xdr:sp>
      </mc:Choice>
      <mc:Fallback xmlns="">
        <xdr:sp macro="" textlink="">
          <xdr:nvSpPr>
            <xdr:cNvPr id="44" name="TextBox 43"/>
            <xdr:cNvSpPr txBox="1"/>
          </xdr:nvSpPr>
          <xdr:spPr>
            <a:xfrm>
              <a:off x="1296035" y="5481955"/>
              <a:ext cx="4238276" cy="1622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lang="en-AU" sz="1100" b="0" i="0">
                  <a:latin typeface="Cambria Math" panose="02040503050406030204" pitchFamily="18" charset="0"/>
                </a:rPr>
                <a:t>VOC=BaseVOC∗(k_1+k_2/V+k_3 V^2+k_4∗IRI+k_5∗IRI^2+k_6∗GVM)</a:t>
              </a:r>
              <a:endParaRPr lang="en-AU" sz="1100" b="0" i="0">
                <a:latin typeface="Arial" panose="020B0604020202020204" pitchFamily="34" charset="0"/>
                <a:cs typeface="Arial" panose="020B0604020202020204" pitchFamily="34" charset="0"/>
              </a:endParaRPr>
            </a:p>
            <a:p>
              <a:pPr algn="l"/>
              <a:endParaRPr lang="en-AU" sz="1100" i="0">
                <a:latin typeface="Arial" panose="020B0604020202020204" pitchFamily="34" charset="0"/>
                <a:cs typeface="Arial" panose="020B0604020202020204" pitchFamily="34" charset="0"/>
              </a:endParaRPr>
            </a:p>
            <a:p>
              <a:pPr algn="l"/>
              <a:r>
                <a:rPr lang="en-AU" sz="1100" i="0">
                  <a:latin typeface="Arial" panose="020B0604020202020204" pitchFamily="34" charset="0"/>
                  <a:cs typeface="Arial" panose="020B0604020202020204" pitchFamily="34" charset="0"/>
                </a:rPr>
                <a:t>Where: </a:t>
              </a:r>
            </a:p>
            <a:p>
              <a:pPr algn="l"/>
              <a:r>
                <a:rPr lang="en-AU" sz="1100" b="0" i="0">
                  <a:latin typeface="Arial" panose="020B0604020202020204" pitchFamily="34" charset="0"/>
                  <a:cs typeface="Arial" panose="020B0604020202020204" pitchFamily="34" charset="0"/>
                </a:rPr>
                <a:t>VOC</a:t>
              </a:r>
              <a:r>
                <a:rPr lang="en-AU" sz="1100" b="0" i="0" baseline="0">
                  <a:latin typeface="Arial" panose="020B0604020202020204" pitchFamily="34" charset="0"/>
                  <a:cs typeface="Arial" panose="020B0604020202020204" pitchFamily="34" charset="0"/>
                </a:rPr>
                <a:t> </a:t>
              </a:r>
              <a:r>
                <a:rPr lang="en-AU" sz="1100" i="0" baseline="0">
                  <a:latin typeface="Arial" panose="020B0604020202020204" pitchFamily="34" charset="0"/>
                  <a:cs typeface="Arial" panose="020B0604020202020204" pitchFamily="34" charset="0"/>
                </a:rPr>
                <a:t>= vehicle operating costs in cents/km</a:t>
              </a:r>
            </a:p>
            <a:p>
              <a:pPr algn="l"/>
              <a:r>
                <a:rPr lang="en-AU" sz="1100" b="0" i="0">
                  <a:latin typeface="Arial" panose="020B0604020202020204" pitchFamily="34" charset="0"/>
                  <a:cs typeface="Arial" panose="020B0604020202020204" pitchFamily="34" charset="0"/>
                </a:rPr>
                <a:t>Base VOC </a:t>
              </a:r>
              <a:r>
                <a:rPr lang="en-AU" sz="1100" i="0">
                  <a:latin typeface="Arial" panose="020B0604020202020204" pitchFamily="34" charset="0"/>
                  <a:cs typeface="Arial" panose="020B0604020202020204" pitchFamily="34" charset="0"/>
                </a:rPr>
                <a:t>= lowest</a:t>
              </a:r>
              <a:r>
                <a:rPr lang="en-AU" sz="1100" i="0" baseline="0">
                  <a:latin typeface="Arial" panose="020B0604020202020204" pitchFamily="34" charset="0"/>
                  <a:cs typeface="Arial" panose="020B0604020202020204" pitchFamily="34" charset="0"/>
                </a:rPr>
                <a:t> VOC point in curve from raw HDM-4 output</a:t>
              </a:r>
            </a:p>
            <a:p>
              <a:pPr algn="l"/>
              <a:r>
                <a:rPr lang="en-AU" sz="1100" b="0" i="0" baseline="0">
                  <a:latin typeface="Arial" panose="020B0604020202020204" pitchFamily="34" charset="0"/>
                  <a:cs typeface="Arial" panose="020B0604020202020204" pitchFamily="34" charset="0"/>
                </a:rPr>
                <a:t>V </a:t>
              </a:r>
              <a:r>
                <a:rPr lang="en-AU" sz="1100" i="0" baseline="0">
                  <a:latin typeface="Arial" panose="020B0604020202020204" pitchFamily="34" charset="0"/>
                  <a:cs typeface="Arial" panose="020B0604020202020204" pitchFamily="34" charset="0"/>
                </a:rPr>
                <a:t>= Vehicle speed in km/h</a:t>
              </a:r>
            </a:p>
            <a:p>
              <a:pPr algn="l"/>
              <a:r>
                <a:rPr lang="en-AU" sz="1100" b="0" i="0" baseline="0">
                  <a:latin typeface="Arial" panose="020B0604020202020204" pitchFamily="34" charset="0"/>
                  <a:cs typeface="Arial" panose="020B0604020202020204" pitchFamily="34" charset="0"/>
                </a:rPr>
                <a:t>IRI </a:t>
              </a:r>
              <a:r>
                <a:rPr lang="en-AU" sz="1100" i="0" baseline="0">
                  <a:latin typeface="Arial" panose="020B0604020202020204" pitchFamily="34" charset="0"/>
                  <a:cs typeface="Arial" panose="020B0604020202020204" pitchFamily="34" charset="0"/>
                </a:rPr>
                <a:t>= International Roughness Index in m/km</a:t>
              </a:r>
            </a:p>
            <a:p>
              <a:pPr algn="l"/>
              <a:r>
                <a:rPr lang="en-AU" sz="1100" b="0" i="0" baseline="0">
                  <a:latin typeface="Arial" panose="020B0604020202020204" pitchFamily="34" charset="0"/>
                  <a:cs typeface="Arial" panose="020B0604020202020204" pitchFamily="34" charset="0"/>
                </a:rPr>
                <a:t>GVM</a:t>
              </a:r>
              <a:r>
                <a:rPr lang="en-AU" sz="1100" b="1" i="0" baseline="0">
                  <a:latin typeface="Arial" panose="020B0604020202020204" pitchFamily="34" charset="0"/>
                  <a:cs typeface="Arial" panose="020B0604020202020204" pitchFamily="34" charset="0"/>
                </a:rPr>
                <a:t> </a:t>
              </a:r>
              <a:r>
                <a:rPr lang="en-AU" sz="1100" i="0" baseline="0">
                  <a:latin typeface="Arial" panose="020B0604020202020204" pitchFamily="34" charset="0"/>
                  <a:cs typeface="Arial" panose="020B0604020202020204" pitchFamily="34" charset="0"/>
                </a:rPr>
                <a:t>= gross vehicle mass in tonnes</a:t>
              </a:r>
            </a:p>
            <a:p>
              <a:pPr algn="l"/>
              <a:r>
                <a:rPr lang="en-AU" sz="1100" b="0" i="0">
                  <a:latin typeface="Cambria Math" panose="02040503050406030204" pitchFamily="18" charset="0"/>
                </a:rPr>
                <a:t>k_1 to k_6</a:t>
              </a:r>
              <a:r>
                <a:rPr lang="en-AU" sz="1100" i="0">
                  <a:latin typeface="Arial" panose="020B0604020202020204" pitchFamily="34" charset="0"/>
                  <a:cs typeface="Arial" panose="020B0604020202020204" pitchFamily="34" charset="0"/>
                </a:rPr>
                <a:t> = model coefficients</a:t>
              </a:r>
            </a:p>
          </xdr:txBody>
        </xdr:sp>
      </mc:Fallback>
    </mc:AlternateContent>
    <xdr:clientData/>
  </xdr:oneCellAnchor>
  <xdr:oneCellAnchor>
    <xdr:from>
      <xdr:col>3</xdr:col>
      <xdr:colOff>11429</xdr:colOff>
      <xdr:row>45</xdr:row>
      <xdr:rowOff>168910</xdr:rowOff>
    </xdr:from>
    <xdr:ext cx="4004311" cy="2671926"/>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stretch>
          <a:fillRect/>
        </a:stretch>
      </xdr:blipFill>
      <xdr:spPr>
        <a:xfrm>
          <a:off x="1276349" y="9046210"/>
          <a:ext cx="4004311" cy="2671926"/>
        </a:xfrm>
        <a:prstGeom prst="rect">
          <a:avLst/>
        </a:prstGeom>
        <a:noFill/>
      </xdr:spPr>
    </xdr:pic>
    <xdr:clientData/>
  </xdr:oneCellAnchor>
  <xdr:oneCellAnchor>
    <xdr:from>
      <xdr:col>3</xdr:col>
      <xdr:colOff>106680</xdr:colOff>
      <xdr:row>31</xdr:row>
      <xdr:rowOff>175260</xdr:rowOff>
    </xdr:from>
    <xdr:ext cx="6283325" cy="1630364"/>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1371600" y="6126480"/>
              <a:ext cx="6283325" cy="1630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14:m>
                <m:oMathPara xmlns:m="http://schemas.openxmlformats.org/officeDocument/2006/math">
                  <m:oMathParaPr>
                    <m:jc m:val="left"/>
                  </m:oMathParaPr>
                  <m:oMath xmlns:m="http://schemas.openxmlformats.org/officeDocument/2006/math">
                    <m:r>
                      <m:rPr>
                        <m:sty m:val="p"/>
                      </m:rPr>
                      <a:rPr lang="en-AU" sz="1100" b="0" i="0">
                        <a:latin typeface="Cambria Math" panose="02040503050406030204" pitchFamily="18" charset="0"/>
                      </a:rPr>
                      <m:t>Fuel</m:t>
                    </m:r>
                    <m:r>
                      <a:rPr lang="en-AU" sz="1100" b="0" i="0">
                        <a:latin typeface="Cambria Math" panose="02040503050406030204" pitchFamily="18" charset="0"/>
                      </a:rPr>
                      <m:t> </m:t>
                    </m:r>
                    <m:r>
                      <m:rPr>
                        <m:sty m:val="p"/>
                      </m:rPr>
                      <a:rPr lang="en-AU" sz="1100" b="0" i="0">
                        <a:latin typeface="Cambria Math" panose="02040503050406030204" pitchFamily="18" charset="0"/>
                      </a:rPr>
                      <m:t>consumption</m:t>
                    </m:r>
                    <m:r>
                      <a:rPr lang="en-AU" sz="1100" b="0" i="0">
                        <a:latin typeface="Cambria Math" panose="02040503050406030204" pitchFamily="18" charset="0"/>
                      </a:rPr>
                      <m:t> </m:t>
                    </m:r>
                    <m:d>
                      <m:dPr>
                        <m:ctrlPr>
                          <a:rPr lang="en-AU" sz="1100" b="0" i="1">
                            <a:latin typeface="Cambria Math" panose="02040503050406030204" pitchFamily="18" charset="0"/>
                          </a:rPr>
                        </m:ctrlPr>
                      </m:dPr>
                      <m:e>
                        <m:f>
                          <m:fPr>
                            <m:ctrlPr>
                              <a:rPr lang="en-AU" sz="1100" b="0" i="1">
                                <a:latin typeface="Cambria Math" panose="02040503050406030204" pitchFamily="18" charset="0"/>
                              </a:rPr>
                            </m:ctrlPr>
                          </m:fPr>
                          <m:num>
                            <m:r>
                              <m:rPr>
                                <m:sty m:val="p"/>
                              </m:rPr>
                              <a:rPr lang="en-AU" sz="1100" b="0" i="0">
                                <a:latin typeface="Cambria Math" panose="02040503050406030204" pitchFamily="18" charset="0"/>
                              </a:rPr>
                              <m:t>litres</m:t>
                            </m:r>
                          </m:num>
                          <m:den>
                            <m:r>
                              <m:rPr>
                                <m:sty m:val="p"/>
                              </m:rPr>
                              <a:rPr lang="en-AU" sz="1100" b="0" i="0">
                                <a:latin typeface="Cambria Math" panose="02040503050406030204" pitchFamily="18" charset="0"/>
                              </a:rPr>
                              <m:t>km</m:t>
                            </m:r>
                          </m:den>
                        </m:f>
                      </m:e>
                    </m:d>
                    <m:r>
                      <a:rPr lang="en-AU" sz="1100" b="0" i="0">
                        <a:latin typeface="Cambria Math" panose="02040503050406030204" pitchFamily="18" charset="0"/>
                      </a:rPr>
                      <m:t>=</m:t>
                    </m:r>
                    <m:r>
                      <m:rPr>
                        <m:sty m:val="p"/>
                      </m:rPr>
                      <a:rPr lang="en-AU" sz="1100" b="0" i="0">
                        <a:latin typeface="Cambria Math" panose="02040503050406030204" pitchFamily="18" charset="0"/>
                      </a:rPr>
                      <m:t>BaseFuel</m:t>
                    </m:r>
                    <m:r>
                      <a:rPr lang="en-AU" sz="1100" b="0" i="0">
                        <a:latin typeface="Cambria Math" panose="02040503050406030204" pitchFamily="18" charset="0"/>
                      </a:rPr>
                      <m:t>∗</m:t>
                    </m:r>
                    <m:d>
                      <m:dPr>
                        <m:ctrlPr>
                          <a:rPr lang="en-AU" sz="1100" b="0" i="1">
                            <a:latin typeface="Cambria Math" panose="02040503050406030204" pitchFamily="18" charset="0"/>
                          </a:rPr>
                        </m:ctrlPr>
                      </m:dPr>
                      <m:e>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1</m:t>
                            </m:r>
                          </m:sub>
                        </m:sSub>
                        <m:r>
                          <a:rPr lang="en-AU" sz="1100" b="0" i="0">
                            <a:latin typeface="Cambria Math" panose="02040503050406030204" pitchFamily="18" charset="0"/>
                          </a:rPr>
                          <m:t>+</m:t>
                        </m:r>
                        <m:f>
                          <m:fPr>
                            <m:ctrlPr>
                              <a:rPr lang="en-AU" sz="1100" b="0" i="1">
                                <a:latin typeface="Cambria Math" panose="02040503050406030204" pitchFamily="18" charset="0"/>
                              </a:rPr>
                            </m:ctrlPr>
                          </m:fPr>
                          <m:num>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2</m:t>
                                </m:r>
                              </m:sub>
                            </m:sSub>
                          </m:num>
                          <m:den>
                            <m:r>
                              <m:rPr>
                                <m:sty m:val="p"/>
                              </m:rPr>
                              <a:rPr lang="en-AU" sz="1100" b="0" i="0">
                                <a:latin typeface="Cambria Math" panose="02040503050406030204" pitchFamily="18" charset="0"/>
                              </a:rPr>
                              <m:t>V</m:t>
                            </m:r>
                          </m:den>
                        </m:f>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3</m:t>
                            </m:r>
                          </m:sub>
                        </m:sSub>
                        <m:r>
                          <a:rPr lang="en-AU" sz="1100" b="0" i="0">
                            <a:latin typeface="Cambria Math" panose="02040503050406030204" pitchFamily="18" charset="0"/>
                          </a:rPr>
                          <m:t>∗</m:t>
                        </m:r>
                        <m:sSup>
                          <m:sSupPr>
                            <m:ctrlPr>
                              <a:rPr lang="en-AU" sz="1100" b="0" i="1">
                                <a:latin typeface="Cambria Math" panose="02040503050406030204" pitchFamily="18" charset="0"/>
                              </a:rPr>
                            </m:ctrlPr>
                          </m:sSupPr>
                          <m:e>
                            <m:r>
                              <m:rPr>
                                <m:sty m:val="p"/>
                              </m:rPr>
                              <a:rPr lang="en-AU" sz="1100" b="0" i="0">
                                <a:latin typeface="Cambria Math" panose="02040503050406030204" pitchFamily="18" charset="0"/>
                              </a:rPr>
                              <m:t>V</m:t>
                            </m:r>
                          </m:e>
                          <m:sup>
                            <m:r>
                              <a:rPr lang="en-AU" sz="1100" b="0" i="0">
                                <a:latin typeface="Cambria Math" panose="02040503050406030204" pitchFamily="18" charset="0"/>
                              </a:rPr>
                              <m:t>2</m:t>
                            </m:r>
                          </m:sup>
                        </m:sSup>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4</m:t>
                            </m:r>
                          </m:sub>
                        </m:sSub>
                        <m:r>
                          <a:rPr lang="en-AU" sz="1100" b="0" i="0">
                            <a:latin typeface="Cambria Math" panose="02040503050406030204" pitchFamily="18" charset="0"/>
                          </a:rPr>
                          <m:t>∗</m:t>
                        </m:r>
                        <m:r>
                          <m:rPr>
                            <m:sty m:val="p"/>
                          </m:rPr>
                          <a:rPr lang="en-AU" sz="1100" b="0" i="0">
                            <a:latin typeface="Cambria Math" panose="02040503050406030204" pitchFamily="18" charset="0"/>
                          </a:rPr>
                          <m:t>IRI</m:t>
                        </m:r>
                        <m:r>
                          <a:rPr lang="en-AU" sz="1100" b="0" i="0">
                            <a:latin typeface="Cambria Math" panose="02040503050406030204" pitchFamily="18" charset="0"/>
                          </a:rPr>
                          <m:t>+</m:t>
                        </m:r>
                        <m:sSub>
                          <m:sSubPr>
                            <m:ctrlPr>
                              <a:rPr lang="en-AU" sz="1100" b="0" i="1">
                                <a:latin typeface="Cambria Math" panose="02040503050406030204" pitchFamily="18" charset="0"/>
                              </a:rPr>
                            </m:ctrlPr>
                          </m:sSubPr>
                          <m:e>
                            <m:r>
                              <m:rPr>
                                <m:sty m:val="p"/>
                              </m:rPr>
                              <a:rPr lang="en-AU" sz="1100" b="0" i="0">
                                <a:latin typeface="Cambria Math" panose="02040503050406030204" pitchFamily="18" charset="0"/>
                              </a:rPr>
                              <m:t>k</m:t>
                            </m:r>
                          </m:e>
                          <m:sub>
                            <m:r>
                              <a:rPr lang="en-AU" sz="1100" b="0" i="0">
                                <a:latin typeface="Cambria Math" panose="02040503050406030204" pitchFamily="18" charset="0"/>
                              </a:rPr>
                              <m:t>5</m:t>
                            </m:r>
                          </m:sub>
                        </m:sSub>
                        <m:r>
                          <a:rPr lang="en-AU" sz="1100" b="0" i="0">
                            <a:latin typeface="Cambria Math" panose="02040503050406030204" pitchFamily="18" charset="0"/>
                          </a:rPr>
                          <m:t>∗</m:t>
                        </m:r>
                        <m:r>
                          <m:rPr>
                            <m:sty m:val="p"/>
                          </m:rPr>
                          <a:rPr lang="en-AU" sz="1100" b="0" i="0">
                            <a:latin typeface="Cambria Math" panose="02040503050406030204" pitchFamily="18" charset="0"/>
                          </a:rPr>
                          <m:t>GVM</m:t>
                        </m:r>
                      </m:e>
                    </m:d>
                  </m:oMath>
                </m:oMathPara>
              </a14:m>
              <a:br>
                <a:rPr lang="en-AU" sz="1100" b="0" i="0">
                  <a:latin typeface="Cambria Math" panose="02040503050406030204" pitchFamily="18" charset="0"/>
                </a:rPr>
              </a:br>
              <a:endParaRPr lang="en-AU" sz="1100" b="0" i="0">
                <a:latin typeface="Cambria Math" panose="02040503050406030204" pitchFamily="18" charset="0"/>
              </a:endParaRPr>
            </a:p>
            <a:p>
              <a:pPr algn="l"/>
              <a:endParaRPr lang="en-AU" sz="1100" b="0" i="0">
                <a:latin typeface="Cambria Math" panose="02040503050406030204" pitchFamily="18" charset="0"/>
                <a:cs typeface="Arial" panose="020B0604020202020204" pitchFamily="34" charset="0"/>
              </a:endParaRPr>
            </a:p>
            <a:p>
              <a:pPr algn="l"/>
              <a:r>
                <a:rPr lang="en-AU" sz="1100" b="0" i="0">
                  <a:latin typeface="Arial" panose="020B0604020202020204" pitchFamily="34" charset="0"/>
                  <a:cs typeface="Arial" panose="020B0604020202020204" pitchFamily="34" charset="0"/>
                </a:rPr>
                <a:t>Where</a:t>
              </a:r>
              <a:r>
                <a:rPr lang="en-AU" sz="1100" i="0">
                  <a:latin typeface="Arial" panose="020B0604020202020204" pitchFamily="34" charset="0"/>
                  <a:cs typeface="Arial" panose="020B0604020202020204" pitchFamily="34" charset="0"/>
                </a:rPr>
                <a:t> </a:t>
              </a:r>
            </a:p>
            <a:p>
              <a:pPr algn="l"/>
              <a:r>
                <a:rPr lang="en-AU" sz="1100" i="0">
                  <a:latin typeface="Arial'"/>
                  <a:cs typeface="Arial" panose="020B0604020202020204" pitchFamily="34" charset="0"/>
                </a:rPr>
                <a:t>BaseFuel = lowest fuel consumption point in curve from raw HDM−4 ou</a:t>
              </a:r>
            </a:p>
            <a:p>
              <a:pPr algn="l"/>
              <a:r>
                <a:rPr lang="en-AU" sz="1100" i="0">
                  <a:latin typeface="Arial'"/>
                  <a:cs typeface="Arial" panose="020B0604020202020204" pitchFamily="34" charset="0"/>
                </a:rPr>
                <a:t>V = Vehicle speed in km/h</a:t>
              </a:r>
            </a:p>
            <a:p>
              <a:r>
                <a:rPr lang="en-AU" sz="1100" i="0">
                  <a:latin typeface="Arial'"/>
                  <a:cs typeface="Arial" panose="020B0604020202020204" pitchFamily="34" charset="0"/>
                </a:rPr>
                <a:t>IRI = International Roughness Index in m/km</a:t>
              </a:r>
              <a:br>
                <a:rPr lang="en-AU" sz="1100" i="0">
                  <a:latin typeface="Arial'"/>
                  <a:cs typeface="Arial" panose="020B0604020202020204" pitchFamily="34" charset="0"/>
                </a:rPr>
              </a:br>
              <a:r>
                <a:rPr lang="en-AU" sz="1100" i="0">
                  <a:latin typeface="Arial'"/>
                  <a:cs typeface="Arial" panose="020B0604020202020204" pitchFamily="34" charset="0"/>
                </a:rPr>
                <a:t>GVM = gross vehicle mass</a:t>
              </a:r>
              <a:r>
                <a:rPr lang="en-AU" sz="1100" i="0" baseline="0">
                  <a:latin typeface="Arial'"/>
                  <a:cs typeface="Arial" panose="020B0604020202020204" pitchFamily="34" charset="0"/>
                </a:rPr>
                <a:t> in tonnes</a:t>
              </a:r>
              <a:br>
                <a:rPr lang="en-AU" sz="1100" i="0" baseline="0">
                  <a:latin typeface="Arial'"/>
                  <a:cs typeface="Arial" panose="020B0604020202020204" pitchFamily="34" charset="0"/>
                </a:rPr>
              </a:br>
              <a14:m>
                <m:oMath xmlns:m="http://schemas.openxmlformats.org/officeDocument/2006/math">
                  <m:sSub>
                    <m:sSubPr>
                      <m:ctrlPr>
                        <a:rPr lang="en-AU" sz="1100" b="0" i="1" baseline="0">
                          <a:latin typeface="Cambria Math" panose="02040503050406030204" pitchFamily="18" charset="0"/>
                        </a:rPr>
                      </m:ctrlPr>
                    </m:sSubPr>
                    <m:e>
                      <m:r>
                        <m:rPr>
                          <m:sty m:val="p"/>
                        </m:rPr>
                        <a:rPr lang="en-AU" sz="1100" b="0" i="0" baseline="0">
                          <a:latin typeface="Cambria Math" panose="02040503050406030204" pitchFamily="18" charset="0"/>
                        </a:rPr>
                        <m:t>k</m:t>
                      </m:r>
                    </m:e>
                    <m:sub>
                      <m:r>
                        <a:rPr lang="en-AU" sz="1100" b="0" i="0" baseline="0">
                          <a:latin typeface="Cambria Math" panose="02040503050406030204" pitchFamily="18" charset="0"/>
                        </a:rPr>
                        <m:t>1</m:t>
                      </m:r>
                    </m:sub>
                  </m:sSub>
                  <m:r>
                    <a:rPr lang="en-AU" sz="1100" i="0" baseline="0">
                      <a:latin typeface="Cambria Math" panose="02040503050406030204" pitchFamily="18" charset="0"/>
                    </a:rPr>
                    <m:t> </m:t>
                  </m:r>
                  <m:r>
                    <m:rPr>
                      <m:sty m:val="p"/>
                    </m:rPr>
                    <a:rPr lang="en-AU" sz="1100" i="0" baseline="0">
                      <a:latin typeface="Cambria Math" panose="02040503050406030204" pitchFamily="18" charset="0"/>
                    </a:rPr>
                    <m:t>to</m:t>
                  </m:r>
                  <m:r>
                    <a:rPr lang="en-AU" sz="1100" i="0" baseline="0">
                      <a:latin typeface="Cambria Math" panose="02040503050406030204" pitchFamily="18" charset="0"/>
                    </a:rPr>
                    <m:t> </m:t>
                  </m:r>
                  <m:sSub>
                    <m:sSubPr>
                      <m:ctrlPr>
                        <a:rPr lang="en-AU" sz="1100" b="0" i="1" baseline="0">
                          <a:latin typeface="Cambria Math" panose="02040503050406030204" pitchFamily="18" charset="0"/>
                        </a:rPr>
                      </m:ctrlPr>
                    </m:sSubPr>
                    <m:e>
                      <m:r>
                        <m:rPr>
                          <m:sty m:val="p"/>
                        </m:rPr>
                        <a:rPr lang="en-AU" sz="1100" i="0" baseline="0">
                          <a:latin typeface="Cambria Math" panose="02040503050406030204" pitchFamily="18" charset="0"/>
                        </a:rPr>
                        <m:t>k</m:t>
                      </m:r>
                    </m:e>
                    <m:sub>
                      <m:r>
                        <a:rPr lang="en-AU" sz="1100" b="0" i="0" baseline="0">
                          <a:latin typeface="Cambria Math" panose="02040503050406030204" pitchFamily="18" charset="0"/>
                        </a:rPr>
                        <m:t>5</m:t>
                      </m:r>
                    </m:sub>
                  </m:sSub>
                  <m:r>
                    <a:rPr lang="en-AU" sz="1100" i="0" baseline="0">
                      <a:latin typeface="Cambria Math" panose="02040503050406030204" pitchFamily="18" charset="0"/>
                    </a:rPr>
                    <m:t> </m:t>
                  </m:r>
                </m:oMath>
              </a14:m>
              <a:r>
                <a:rPr lang="en-AU" sz="1100" i="0" baseline="0">
                  <a:latin typeface="Arial'"/>
                  <a:cs typeface="Arial" panose="020B0604020202020204" pitchFamily="34" charset="0"/>
                </a:rPr>
                <a:t>= model coefficients</a:t>
              </a:r>
              <a:endParaRPr lang="en-AU" sz="1100" i="0">
                <a:latin typeface="Arial'"/>
                <a:cs typeface="Arial" panose="020B0604020202020204" pitchFamily="34" charset="0"/>
              </a:endParaRPr>
            </a:p>
          </xdr:txBody>
        </xdr:sp>
      </mc:Choice>
      <mc:Fallback xmlns="">
        <xdr:sp macro="" textlink="">
          <xdr:nvSpPr>
            <xdr:cNvPr id="46" name="TextBox 45"/>
            <xdr:cNvSpPr txBox="1"/>
          </xdr:nvSpPr>
          <xdr:spPr>
            <a:xfrm>
              <a:off x="1371600" y="6126480"/>
              <a:ext cx="6283325" cy="1630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n-AU" sz="1100" b="0" i="0">
                  <a:latin typeface="Cambria Math" panose="02040503050406030204" pitchFamily="18" charset="0"/>
                </a:rPr>
                <a:t>Fuel consumption (litres/km)=BaseFuel∗(k_1+k_2/V+k_3∗V^2+k_4∗IRI+k_5∗GVM)</a:t>
              </a:r>
              <a:br>
                <a:rPr lang="en-AU" sz="1100" b="0" i="0">
                  <a:latin typeface="Cambria Math" panose="02040503050406030204" pitchFamily="18" charset="0"/>
                </a:rPr>
              </a:br>
              <a:endParaRPr lang="en-AU" sz="1100" b="0" i="0">
                <a:latin typeface="Cambria Math" panose="02040503050406030204" pitchFamily="18" charset="0"/>
              </a:endParaRPr>
            </a:p>
            <a:p>
              <a:pPr algn="l"/>
              <a:endParaRPr lang="en-AU" sz="1100" b="0" i="0">
                <a:latin typeface="Cambria Math" panose="02040503050406030204" pitchFamily="18" charset="0"/>
                <a:cs typeface="Arial" panose="020B0604020202020204" pitchFamily="34" charset="0"/>
              </a:endParaRPr>
            </a:p>
            <a:p>
              <a:pPr algn="l"/>
              <a:r>
                <a:rPr lang="en-AU" sz="1100" b="0" i="0">
                  <a:latin typeface="Arial" panose="020B0604020202020204" pitchFamily="34" charset="0"/>
                  <a:cs typeface="Arial" panose="020B0604020202020204" pitchFamily="34" charset="0"/>
                </a:rPr>
                <a:t>Where</a:t>
              </a:r>
              <a:r>
                <a:rPr lang="en-AU" sz="1100" i="0">
                  <a:latin typeface="Arial" panose="020B0604020202020204" pitchFamily="34" charset="0"/>
                  <a:cs typeface="Arial" panose="020B0604020202020204" pitchFamily="34" charset="0"/>
                </a:rPr>
                <a:t> </a:t>
              </a:r>
            </a:p>
            <a:p>
              <a:pPr algn="l"/>
              <a:r>
                <a:rPr lang="en-AU" sz="1100" i="0">
                  <a:latin typeface="Arial'"/>
                  <a:cs typeface="Arial" panose="020B0604020202020204" pitchFamily="34" charset="0"/>
                </a:rPr>
                <a:t>BaseFuel = lowest fuel consumption point in curve from raw HDM−4 ou</a:t>
              </a:r>
            </a:p>
            <a:p>
              <a:pPr algn="l"/>
              <a:r>
                <a:rPr lang="en-AU" sz="1100" i="0">
                  <a:latin typeface="Arial'"/>
                  <a:cs typeface="Arial" panose="020B0604020202020204" pitchFamily="34" charset="0"/>
                </a:rPr>
                <a:t>V = Vehicle speed in km/h</a:t>
              </a:r>
            </a:p>
            <a:p>
              <a:r>
                <a:rPr lang="en-AU" sz="1100" i="0">
                  <a:latin typeface="Arial'"/>
                  <a:cs typeface="Arial" panose="020B0604020202020204" pitchFamily="34" charset="0"/>
                </a:rPr>
                <a:t>IRI = International Roughness Index in m/km</a:t>
              </a:r>
              <a:br>
                <a:rPr lang="en-AU" sz="1100" i="0">
                  <a:latin typeface="Arial'"/>
                  <a:cs typeface="Arial" panose="020B0604020202020204" pitchFamily="34" charset="0"/>
                </a:rPr>
              </a:br>
              <a:r>
                <a:rPr lang="en-AU" sz="1100" i="0">
                  <a:latin typeface="Arial'"/>
                  <a:cs typeface="Arial" panose="020B0604020202020204" pitchFamily="34" charset="0"/>
                </a:rPr>
                <a:t>GVM = gross vehicle mass</a:t>
              </a:r>
              <a:r>
                <a:rPr lang="en-AU" sz="1100" i="0" baseline="0">
                  <a:latin typeface="Arial'"/>
                  <a:cs typeface="Arial" panose="020B0604020202020204" pitchFamily="34" charset="0"/>
                </a:rPr>
                <a:t> in tonnes</a:t>
              </a:r>
              <a:br>
                <a:rPr lang="en-AU" sz="1100" i="0" baseline="0">
                  <a:latin typeface="Arial'"/>
                  <a:cs typeface="Arial" panose="020B0604020202020204" pitchFamily="34" charset="0"/>
                </a:rPr>
              </a:br>
              <a:r>
                <a:rPr lang="en-AU" sz="1100" b="0" i="0" baseline="0">
                  <a:latin typeface="Cambria Math" panose="02040503050406030204" pitchFamily="18" charset="0"/>
                </a:rPr>
                <a:t>k_1 </a:t>
              </a:r>
              <a:r>
                <a:rPr lang="en-AU" sz="1100" i="0" baseline="0">
                  <a:latin typeface="Cambria Math" panose="02040503050406030204" pitchFamily="18" charset="0"/>
                </a:rPr>
                <a:t> to k</a:t>
              </a:r>
              <a:r>
                <a:rPr lang="en-AU" sz="1100" b="0" i="0" baseline="0">
                  <a:latin typeface="Cambria Math" panose="02040503050406030204" pitchFamily="18" charset="0"/>
                </a:rPr>
                <a:t>_5 </a:t>
              </a:r>
              <a:r>
                <a:rPr lang="en-AU" sz="1100" i="0" baseline="0">
                  <a:latin typeface="Cambria Math" panose="02040503050406030204" pitchFamily="18" charset="0"/>
                </a:rPr>
                <a:t> </a:t>
              </a:r>
              <a:r>
                <a:rPr lang="en-AU" sz="1100" i="0" baseline="0">
                  <a:latin typeface="Arial'"/>
                  <a:cs typeface="Arial" panose="020B0604020202020204" pitchFamily="34" charset="0"/>
                </a:rPr>
                <a:t>= model coefficients</a:t>
              </a:r>
              <a:endParaRPr lang="en-AU" sz="1100" i="0">
                <a:latin typeface="Arial'"/>
                <a:cs typeface="Arial" panose="020B0604020202020204" pitchFamily="34" charset="0"/>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6</xdr:col>
      <xdr:colOff>1190625</xdr:colOff>
      <xdr:row>33</xdr:row>
      <xdr:rowOff>219075</xdr:rowOff>
    </xdr:from>
    <xdr:to>
      <xdr:col>6</xdr:col>
      <xdr:colOff>1543050</xdr:colOff>
      <xdr:row>35</xdr:row>
      <xdr:rowOff>0</xdr:rowOff>
    </xdr:to>
    <xdr:sp macro="" textlink="">
      <xdr:nvSpPr>
        <xdr:cNvPr id="8" name="Rectangle 66">
          <a:extLst>
            <a:ext uri="{FF2B5EF4-FFF2-40B4-BE49-F238E27FC236}">
              <a16:creationId xmlns:a16="http://schemas.microsoft.com/office/drawing/2014/main" id="{8B0BB71C-B9AA-44D5-A7A9-9AAF71ECC248}"/>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9" name="Rectangle 66">
          <a:extLst>
            <a:ext uri="{FF2B5EF4-FFF2-40B4-BE49-F238E27FC236}">
              <a16:creationId xmlns:a16="http://schemas.microsoft.com/office/drawing/2014/main" id="{7A1BFB78-B2D5-4F8B-85A6-F026E5996998}"/>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0" name="Rectangle 66">
          <a:extLst>
            <a:ext uri="{FF2B5EF4-FFF2-40B4-BE49-F238E27FC236}">
              <a16:creationId xmlns:a16="http://schemas.microsoft.com/office/drawing/2014/main" id="{2BCC3DD1-E8B6-4E75-9739-53908AE87CDA}"/>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1" name="Rectangle 66">
          <a:extLst>
            <a:ext uri="{FF2B5EF4-FFF2-40B4-BE49-F238E27FC236}">
              <a16:creationId xmlns:a16="http://schemas.microsoft.com/office/drawing/2014/main" id="{20A97E7D-899E-4AB6-90BD-9A7418AB174C}"/>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2" name="Rectangle 66">
          <a:extLst>
            <a:ext uri="{FF2B5EF4-FFF2-40B4-BE49-F238E27FC236}">
              <a16:creationId xmlns:a16="http://schemas.microsoft.com/office/drawing/2014/main" id="{3CE6C65E-15BD-49BA-991F-3AD59F9ECAA4}"/>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3" name="Rectangle 66">
          <a:extLst>
            <a:ext uri="{FF2B5EF4-FFF2-40B4-BE49-F238E27FC236}">
              <a16:creationId xmlns:a16="http://schemas.microsoft.com/office/drawing/2014/main" id="{096F507A-061C-4842-8570-EF4B93E1B742}"/>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4" name="Rectangle 66">
          <a:extLst>
            <a:ext uri="{FF2B5EF4-FFF2-40B4-BE49-F238E27FC236}">
              <a16:creationId xmlns:a16="http://schemas.microsoft.com/office/drawing/2014/main" id="{8A924BAE-B4AE-49F5-9FF2-B0A75E65F665}"/>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5" name="Rectangle 66">
          <a:extLst>
            <a:ext uri="{FF2B5EF4-FFF2-40B4-BE49-F238E27FC236}">
              <a16:creationId xmlns:a16="http://schemas.microsoft.com/office/drawing/2014/main" id="{B87585D4-E51C-4FE3-A0F5-D22612EC9299}"/>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16" name="Rectangle 66">
          <a:extLst>
            <a:ext uri="{FF2B5EF4-FFF2-40B4-BE49-F238E27FC236}">
              <a16:creationId xmlns:a16="http://schemas.microsoft.com/office/drawing/2014/main" id="{78FB0436-9066-4FB9-BB15-C6E4C1D9F8C1}"/>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7" name="Rectangle 66">
          <a:extLst>
            <a:ext uri="{FF2B5EF4-FFF2-40B4-BE49-F238E27FC236}">
              <a16:creationId xmlns:a16="http://schemas.microsoft.com/office/drawing/2014/main" id="{90C09754-F75B-42B4-81B4-91D875689E50}"/>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18" name="Rectangle 66">
          <a:extLst>
            <a:ext uri="{FF2B5EF4-FFF2-40B4-BE49-F238E27FC236}">
              <a16:creationId xmlns:a16="http://schemas.microsoft.com/office/drawing/2014/main" id="{5FD8D847-66D6-487A-A14B-47069EA232AE}"/>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19" name="Rectangle 66">
          <a:extLst>
            <a:ext uri="{FF2B5EF4-FFF2-40B4-BE49-F238E27FC236}">
              <a16:creationId xmlns:a16="http://schemas.microsoft.com/office/drawing/2014/main" id="{20F1A496-2AF0-48F1-8756-0F928F181E9E}"/>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33</xdr:row>
      <xdr:rowOff>219075</xdr:rowOff>
    </xdr:from>
    <xdr:to>
      <xdr:col>4</xdr:col>
      <xdr:colOff>1543050</xdr:colOff>
      <xdr:row>35</xdr:row>
      <xdr:rowOff>0</xdr:rowOff>
    </xdr:to>
    <xdr:sp macro="" textlink="">
      <xdr:nvSpPr>
        <xdr:cNvPr id="20" name="Rectangle 66">
          <a:extLst>
            <a:ext uri="{FF2B5EF4-FFF2-40B4-BE49-F238E27FC236}">
              <a16:creationId xmlns:a16="http://schemas.microsoft.com/office/drawing/2014/main" id="{561A8331-58AA-4187-BAAE-2B61558390E6}"/>
            </a:ext>
          </a:extLst>
        </xdr:cNvPr>
        <xdr:cNvSpPr>
          <a:spLocks noChangeArrowheads="1"/>
        </xdr:cNvSpPr>
      </xdr:nvSpPr>
      <xdr:spPr bwMode="auto">
        <a:xfrm>
          <a:off x="36442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21" name="Rectangle 66">
          <a:extLst>
            <a:ext uri="{FF2B5EF4-FFF2-40B4-BE49-F238E27FC236}">
              <a16:creationId xmlns:a16="http://schemas.microsoft.com/office/drawing/2014/main" id="{996331B8-DB05-4018-B527-0A6B58FC8D7A}"/>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22" name="Rectangle 66">
          <a:extLst>
            <a:ext uri="{FF2B5EF4-FFF2-40B4-BE49-F238E27FC236}">
              <a16:creationId xmlns:a16="http://schemas.microsoft.com/office/drawing/2014/main" id="{97BEB4EE-DAF2-4F09-BD71-F7E4499C9D5F}"/>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3" name="Rectangle 66">
          <a:extLst>
            <a:ext uri="{FF2B5EF4-FFF2-40B4-BE49-F238E27FC236}">
              <a16:creationId xmlns:a16="http://schemas.microsoft.com/office/drawing/2014/main" id="{F8B02400-2E84-40AD-859E-5D109F3F4D45}"/>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24" name="Rectangle 66">
          <a:extLst>
            <a:ext uri="{FF2B5EF4-FFF2-40B4-BE49-F238E27FC236}">
              <a16:creationId xmlns:a16="http://schemas.microsoft.com/office/drawing/2014/main" id="{D677DDC4-F685-47D9-A7CC-610B249EAEC7}"/>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5" name="Rectangle 66">
          <a:extLst>
            <a:ext uri="{FF2B5EF4-FFF2-40B4-BE49-F238E27FC236}">
              <a16:creationId xmlns:a16="http://schemas.microsoft.com/office/drawing/2014/main" id="{1B67568D-69E4-4DBE-9CD3-6EBFF8361D66}"/>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26" name="Rectangle 66">
          <a:extLst>
            <a:ext uri="{FF2B5EF4-FFF2-40B4-BE49-F238E27FC236}">
              <a16:creationId xmlns:a16="http://schemas.microsoft.com/office/drawing/2014/main" id="{C09F4E20-D2A9-4680-8B47-E3AE8A3FDAC7}"/>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7" name="Rectangle 66">
          <a:extLst>
            <a:ext uri="{FF2B5EF4-FFF2-40B4-BE49-F238E27FC236}">
              <a16:creationId xmlns:a16="http://schemas.microsoft.com/office/drawing/2014/main" id="{CE47AFF9-F47C-4566-A363-ADFEECF9EE99}"/>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3257550</xdr:colOff>
      <xdr:row>34</xdr:row>
      <xdr:rowOff>0</xdr:rowOff>
    </xdr:from>
    <xdr:to>
      <xdr:col>6</xdr:col>
      <xdr:colOff>3609975</xdr:colOff>
      <xdr:row>36</xdr:row>
      <xdr:rowOff>19050</xdr:rowOff>
    </xdr:to>
    <xdr:sp macro="" textlink="">
      <xdr:nvSpPr>
        <xdr:cNvPr id="28" name="Rectangle 67">
          <a:extLst>
            <a:ext uri="{FF2B5EF4-FFF2-40B4-BE49-F238E27FC236}">
              <a16:creationId xmlns:a16="http://schemas.microsoft.com/office/drawing/2014/main" id="{8AA554F3-9EC2-4E21-8C33-9FD1C1004F6F}"/>
            </a:ext>
          </a:extLst>
        </xdr:cNvPr>
        <xdr:cNvSpPr>
          <a:spLocks noChangeArrowheads="1"/>
        </xdr:cNvSpPr>
      </xdr:nvSpPr>
      <xdr:spPr bwMode="auto">
        <a:xfrm>
          <a:off x="4857750" y="7802880"/>
          <a:ext cx="1905" cy="384810"/>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29" name="Rectangle 66">
          <a:extLst>
            <a:ext uri="{FF2B5EF4-FFF2-40B4-BE49-F238E27FC236}">
              <a16:creationId xmlns:a16="http://schemas.microsoft.com/office/drawing/2014/main" id="{836721CA-5FFC-4400-8018-B65E79E8CD5E}"/>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30" name="Rectangle 66">
          <a:extLst>
            <a:ext uri="{FF2B5EF4-FFF2-40B4-BE49-F238E27FC236}">
              <a16:creationId xmlns:a16="http://schemas.microsoft.com/office/drawing/2014/main" id="{DD672016-4660-4FE7-9DFE-CF380B72AF11}"/>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33</xdr:row>
      <xdr:rowOff>219075</xdr:rowOff>
    </xdr:from>
    <xdr:to>
      <xdr:col>4</xdr:col>
      <xdr:colOff>1543050</xdr:colOff>
      <xdr:row>35</xdr:row>
      <xdr:rowOff>0</xdr:rowOff>
    </xdr:to>
    <xdr:sp macro="" textlink="">
      <xdr:nvSpPr>
        <xdr:cNvPr id="31" name="Rectangle 66">
          <a:extLst>
            <a:ext uri="{FF2B5EF4-FFF2-40B4-BE49-F238E27FC236}">
              <a16:creationId xmlns:a16="http://schemas.microsoft.com/office/drawing/2014/main" id="{BD62D68A-D43A-4185-A214-54ABF7FF3491}"/>
            </a:ext>
          </a:extLst>
        </xdr:cNvPr>
        <xdr:cNvSpPr>
          <a:spLocks noChangeArrowheads="1"/>
        </xdr:cNvSpPr>
      </xdr:nvSpPr>
      <xdr:spPr bwMode="auto">
        <a:xfrm>
          <a:off x="36442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32" name="Rectangle 66">
          <a:extLst>
            <a:ext uri="{FF2B5EF4-FFF2-40B4-BE49-F238E27FC236}">
              <a16:creationId xmlns:a16="http://schemas.microsoft.com/office/drawing/2014/main" id="{0B346AF2-7BCE-49B4-BA75-5C94502DCEB9}"/>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33" name="Rectangle 66">
          <a:extLst>
            <a:ext uri="{FF2B5EF4-FFF2-40B4-BE49-F238E27FC236}">
              <a16:creationId xmlns:a16="http://schemas.microsoft.com/office/drawing/2014/main" id="{A48201C7-472F-48AA-B7E0-E1B955854D91}"/>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4" name="Rectangle 66">
          <a:extLst>
            <a:ext uri="{FF2B5EF4-FFF2-40B4-BE49-F238E27FC236}">
              <a16:creationId xmlns:a16="http://schemas.microsoft.com/office/drawing/2014/main" id="{C86D0477-A4C3-41AD-84BE-D9FDA7FE0FB8}"/>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33</xdr:row>
      <xdr:rowOff>219075</xdr:rowOff>
    </xdr:from>
    <xdr:to>
      <xdr:col>6</xdr:col>
      <xdr:colOff>1543050</xdr:colOff>
      <xdr:row>35</xdr:row>
      <xdr:rowOff>0</xdr:rowOff>
    </xdr:to>
    <xdr:sp macro="" textlink="">
      <xdr:nvSpPr>
        <xdr:cNvPr id="35" name="Rectangle 66">
          <a:extLst>
            <a:ext uri="{FF2B5EF4-FFF2-40B4-BE49-F238E27FC236}">
              <a16:creationId xmlns:a16="http://schemas.microsoft.com/office/drawing/2014/main" id="{76DA8870-4C55-4538-A772-91040C0403B3}"/>
            </a:ext>
          </a:extLst>
        </xdr:cNvPr>
        <xdr:cNvSpPr>
          <a:spLocks noChangeArrowheads="1"/>
        </xdr:cNvSpPr>
      </xdr:nvSpPr>
      <xdr:spPr bwMode="auto">
        <a:xfrm>
          <a:off x="48634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6" name="Rectangle 66">
          <a:extLst>
            <a:ext uri="{FF2B5EF4-FFF2-40B4-BE49-F238E27FC236}">
              <a16:creationId xmlns:a16="http://schemas.microsoft.com/office/drawing/2014/main" id="{E0BAEE39-E5F9-4331-B9E3-2256358DDF37}"/>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7" name="Rectangle 66">
          <a:extLst>
            <a:ext uri="{FF2B5EF4-FFF2-40B4-BE49-F238E27FC236}">
              <a16:creationId xmlns:a16="http://schemas.microsoft.com/office/drawing/2014/main" id="{163406BF-981A-4620-A095-47A887F1B2F7}"/>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8" name="Rectangle 66">
          <a:extLst>
            <a:ext uri="{FF2B5EF4-FFF2-40B4-BE49-F238E27FC236}">
              <a16:creationId xmlns:a16="http://schemas.microsoft.com/office/drawing/2014/main" id="{1F7F62D1-0D81-45B6-9CD3-D30D148762C4}"/>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39" name="Rectangle 66">
          <a:extLst>
            <a:ext uri="{FF2B5EF4-FFF2-40B4-BE49-F238E27FC236}">
              <a16:creationId xmlns:a16="http://schemas.microsoft.com/office/drawing/2014/main" id="{24F35B52-D5ED-4DF3-9402-5AEA160FD075}"/>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40" name="Rectangle 66">
          <a:extLst>
            <a:ext uri="{FF2B5EF4-FFF2-40B4-BE49-F238E27FC236}">
              <a16:creationId xmlns:a16="http://schemas.microsoft.com/office/drawing/2014/main" id="{027E23EC-BBCF-42E4-BA84-08157BF1EFAE}"/>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41" name="Rectangle 66">
          <a:extLst>
            <a:ext uri="{FF2B5EF4-FFF2-40B4-BE49-F238E27FC236}">
              <a16:creationId xmlns:a16="http://schemas.microsoft.com/office/drawing/2014/main" id="{925EE1EB-A7E6-4D52-88EC-40E4F788931A}"/>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33</xdr:row>
      <xdr:rowOff>219075</xdr:rowOff>
    </xdr:from>
    <xdr:to>
      <xdr:col>5</xdr:col>
      <xdr:colOff>1543050</xdr:colOff>
      <xdr:row>35</xdr:row>
      <xdr:rowOff>0</xdr:rowOff>
    </xdr:to>
    <xdr:sp macro="" textlink="">
      <xdr:nvSpPr>
        <xdr:cNvPr id="42" name="Rectangle 66">
          <a:extLst>
            <a:ext uri="{FF2B5EF4-FFF2-40B4-BE49-F238E27FC236}">
              <a16:creationId xmlns:a16="http://schemas.microsoft.com/office/drawing/2014/main" id="{D68744E5-6C99-41DC-9A71-0AC0030B4573}"/>
            </a:ext>
          </a:extLst>
        </xdr:cNvPr>
        <xdr:cNvSpPr>
          <a:spLocks noChangeArrowheads="1"/>
        </xdr:cNvSpPr>
      </xdr:nvSpPr>
      <xdr:spPr bwMode="auto">
        <a:xfrm>
          <a:off x="4253865" y="780097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33</xdr:row>
      <xdr:rowOff>219075</xdr:rowOff>
    </xdr:from>
    <xdr:to>
      <xdr:col>3</xdr:col>
      <xdr:colOff>1543050</xdr:colOff>
      <xdr:row>35</xdr:row>
      <xdr:rowOff>0</xdr:rowOff>
    </xdr:to>
    <xdr:sp macro="" textlink="">
      <xdr:nvSpPr>
        <xdr:cNvPr id="43" name="Rectangle 66">
          <a:extLst>
            <a:ext uri="{FF2B5EF4-FFF2-40B4-BE49-F238E27FC236}">
              <a16:creationId xmlns:a16="http://schemas.microsoft.com/office/drawing/2014/main" id="{1E22A586-D3F2-4138-96D0-339FAFC944EC}"/>
            </a:ext>
          </a:extLst>
        </xdr:cNvPr>
        <xdr:cNvSpPr>
          <a:spLocks noChangeArrowheads="1"/>
        </xdr:cNvSpPr>
      </xdr:nvSpPr>
      <xdr:spPr bwMode="auto">
        <a:xfrm>
          <a:off x="2455545" y="780097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editAs="oneCell">
    <xdr:from>
      <xdr:col>2</xdr:col>
      <xdr:colOff>68580</xdr:colOff>
      <xdr:row>0</xdr:row>
      <xdr:rowOff>30480</xdr:rowOff>
    </xdr:from>
    <xdr:to>
      <xdr:col>16383</xdr:col>
      <xdr:colOff>815340</xdr:colOff>
      <xdr:row>29</xdr:row>
      <xdr:rowOff>22860</xdr:rowOff>
    </xdr:to>
    <xdr:pic>
      <xdr:nvPicPr>
        <xdr:cNvPr id="45" name="Picture 44">
          <a:extLst>
            <a:ext uri="{FF2B5EF4-FFF2-40B4-BE49-F238E27FC236}">
              <a16:creationId xmlns:a16="http://schemas.microsoft.com/office/drawing/2014/main" id="{CB8EA9F7-3493-4C68-8AA4-005B2183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5840" y="30480"/>
          <a:ext cx="13144500" cy="6842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1190625</xdr:colOff>
      <xdr:row>129</xdr:row>
      <xdr:rowOff>219075</xdr:rowOff>
    </xdr:from>
    <xdr:to>
      <xdr:col>6</xdr:col>
      <xdr:colOff>1543050</xdr:colOff>
      <xdr:row>131</xdr:row>
      <xdr:rowOff>0</xdr:rowOff>
    </xdr:to>
    <xdr:sp macro="" textlink="">
      <xdr:nvSpPr>
        <xdr:cNvPr id="2" name="Rectangle 66">
          <a:extLst>
            <a:ext uri="{FF2B5EF4-FFF2-40B4-BE49-F238E27FC236}">
              <a16:creationId xmlns:a16="http://schemas.microsoft.com/office/drawing/2014/main" id="{00000000-0008-0000-0200-000002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3" name="Rectangle 66">
          <a:extLst>
            <a:ext uri="{FF2B5EF4-FFF2-40B4-BE49-F238E27FC236}">
              <a16:creationId xmlns:a16="http://schemas.microsoft.com/office/drawing/2014/main" id="{00000000-0008-0000-0200-000003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4" name="Rectangle 66">
          <a:extLst>
            <a:ext uri="{FF2B5EF4-FFF2-40B4-BE49-F238E27FC236}">
              <a16:creationId xmlns:a16="http://schemas.microsoft.com/office/drawing/2014/main" id="{00000000-0008-0000-0200-000004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5" name="Rectangle 66">
          <a:extLst>
            <a:ext uri="{FF2B5EF4-FFF2-40B4-BE49-F238E27FC236}">
              <a16:creationId xmlns:a16="http://schemas.microsoft.com/office/drawing/2014/main" id="{00000000-0008-0000-0200-000005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6" name="Rectangle 66">
          <a:extLst>
            <a:ext uri="{FF2B5EF4-FFF2-40B4-BE49-F238E27FC236}">
              <a16:creationId xmlns:a16="http://schemas.microsoft.com/office/drawing/2014/main" id="{00000000-0008-0000-0200-000006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7" name="Rectangle 66">
          <a:extLst>
            <a:ext uri="{FF2B5EF4-FFF2-40B4-BE49-F238E27FC236}">
              <a16:creationId xmlns:a16="http://schemas.microsoft.com/office/drawing/2014/main" id="{00000000-0008-0000-0200-000007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8" name="Rectangle 66">
          <a:extLst>
            <a:ext uri="{FF2B5EF4-FFF2-40B4-BE49-F238E27FC236}">
              <a16:creationId xmlns:a16="http://schemas.microsoft.com/office/drawing/2014/main" id="{00000000-0008-0000-0200-000008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9" name="Rectangle 66">
          <a:extLst>
            <a:ext uri="{FF2B5EF4-FFF2-40B4-BE49-F238E27FC236}">
              <a16:creationId xmlns:a16="http://schemas.microsoft.com/office/drawing/2014/main" id="{00000000-0008-0000-0200-000009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10" name="Rectangle 66">
          <a:extLst>
            <a:ext uri="{FF2B5EF4-FFF2-40B4-BE49-F238E27FC236}">
              <a16:creationId xmlns:a16="http://schemas.microsoft.com/office/drawing/2014/main" id="{00000000-0008-0000-0200-00000A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11" name="Rectangle 66">
          <a:extLst>
            <a:ext uri="{FF2B5EF4-FFF2-40B4-BE49-F238E27FC236}">
              <a16:creationId xmlns:a16="http://schemas.microsoft.com/office/drawing/2014/main" id="{00000000-0008-0000-0200-00000B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12" name="Rectangle 66">
          <a:extLst>
            <a:ext uri="{FF2B5EF4-FFF2-40B4-BE49-F238E27FC236}">
              <a16:creationId xmlns:a16="http://schemas.microsoft.com/office/drawing/2014/main" id="{00000000-0008-0000-0200-00000C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129</xdr:row>
      <xdr:rowOff>219075</xdr:rowOff>
    </xdr:from>
    <xdr:to>
      <xdr:col>5</xdr:col>
      <xdr:colOff>1543050</xdr:colOff>
      <xdr:row>131</xdr:row>
      <xdr:rowOff>0</xdr:rowOff>
    </xdr:to>
    <xdr:sp macro="" textlink="">
      <xdr:nvSpPr>
        <xdr:cNvPr id="13" name="Rectangle 66">
          <a:extLst>
            <a:ext uri="{FF2B5EF4-FFF2-40B4-BE49-F238E27FC236}">
              <a16:creationId xmlns:a16="http://schemas.microsoft.com/office/drawing/2014/main" id="{00000000-0008-0000-0200-00000D000000}"/>
            </a:ext>
          </a:extLst>
        </xdr:cNvPr>
        <xdr:cNvSpPr>
          <a:spLocks noChangeArrowheads="1"/>
        </xdr:cNvSpPr>
      </xdr:nvSpPr>
      <xdr:spPr bwMode="auto">
        <a:xfrm>
          <a:off x="72256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129</xdr:row>
      <xdr:rowOff>219075</xdr:rowOff>
    </xdr:from>
    <xdr:to>
      <xdr:col>4</xdr:col>
      <xdr:colOff>1543050</xdr:colOff>
      <xdr:row>131</xdr:row>
      <xdr:rowOff>0</xdr:rowOff>
    </xdr:to>
    <xdr:sp macro="" textlink="">
      <xdr:nvSpPr>
        <xdr:cNvPr id="14" name="Rectangle 66">
          <a:extLst>
            <a:ext uri="{FF2B5EF4-FFF2-40B4-BE49-F238E27FC236}">
              <a16:creationId xmlns:a16="http://schemas.microsoft.com/office/drawing/2014/main" id="{00000000-0008-0000-0200-00000E000000}"/>
            </a:ext>
          </a:extLst>
        </xdr:cNvPr>
        <xdr:cNvSpPr>
          <a:spLocks noChangeArrowheads="1"/>
        </xdr:cNvSpPr>
      </xdr:nvSpPr>
      <xdr:spPr bwMode="auto">
        <a:xfrm>
          <a:off x="66160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129</xdr:row>
      <xdr:rowOff>219075</xdr:rowOff>
    </xdr:from>
    <xdr:to>
      <xdr:col>5</xdr:col>
      <xdr:colOff>1543050</xdr:colOff>
      <xdr:row>131</xdr:row>
      <xdr:rowOff>0</xdr:rowOff>
    </xdr:to>
    <xdr:sp macro="" textlink="">
      <xdr:nvSpPr>
        <xdr:cNvPr id="15" name="Rectangle 66">
          <a:extLst>
            <a:ext uri="{FF2B5EF4-FFF2-40B4-BE49-F238E27FC236}">
              <a16:creationId xmlns:a16="http://schemas.microsoft.com/office/drawing/2014/main" id="{00000000-0008-0000-0200-00000F000000}"/>
            </a:ext>
          </a:extLst>
        </xdr:cNvPr>
        <xdr:cNvSpPr>
          <a:spLocks noChangeArrowheads="1"/>
        </xdr:cNvSpPr>
      </xdr:nvSpPr>
      <xdr:spPr bwMode="auto">
        <a:xfrm>
          <a:off x="72256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16" name="Rectangle 66">
          <a:extLst>
            <a:ext uri="{FF2B5EF4-FFF2-40B4-BE49-F238E27FC236}">
              <a16:creationId xmlns:a16="http://schemas.microsoft.com/office/drawing/2014/main" id="{00000000-0008-0000-0200-000010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17" name="Rectangle 66">
          <a:extLst>
            <a:ext uri="{FF2B5EF4-FFF2-40B4-BE49-F238E27FC236}">
              <a16:creationId xmlns:a16="http://schemas.microsoft.com/office/drawing/2014/main" id="{00000000-0008-0000-0200-000011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18" name="Rectangle 66">
          <a:extLst>
            <a:ext uri="{FF2B5EF4-FFF2-40B4-BE49-F238E27FC236}">
              <a16:creationId xmlns:a16="http://schemas.microsoft.com/office/drawing/2014/main" id="{00000000-0008-0000-0200-000012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19" name="Rectangle 66">
          <a:extLst>
            <a:ext uri="{FF2B5EF4-FFF2-40B4-BE49-F238E27FC236}">
              <a16:creationId xmlns:a16="http://schemas.microsoft.com/office/drawing/2014/main" id="{00000000-0008-0000-0200-000013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20" name="Rectangle 66">
          <a:extLst>
            <a:ext uri="{FF2B5EF4-FFF2-40B4-BE49-F238E27FC236}">
              <a16:creationId xmlns:a16="http://schemas.microsoft.com/office/drawing/2014/main" id="{00000000-0008-0000-0200-000014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21" name="Rectangle 66">
          <a:extLst>
            <a:ext uri="{FF2B5EF4-FFF2-40B4-BE49-F238E27FC236}">
              <a16:creationId xmlns:a16="http://schemas.microsoft.com/office/drawing/2014/main" id="{00000000-0008-0000-0200-000015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3257550</xdr:colOff>
      <xdr:row>130</xdr:row>
      <xdr:rowOff>0</xdr:rowOff>
    </xdr:from>
    <xdr:to>
      <xdr:col>6</xdr:col>
      <xdr:colOff>3609975</xdr:colOff>
      <xdr:row>132</xdr:row>
      <xdr:rowOff>19050</xdr:rowOff>
    </xdr:to>
    <xdr:sp macro="" textlink="">
      <xdr:nvSpPr>
        <xdr:cNvPr id="22" name="Rectangle 67">
          <a:extLst>
            <a:ext uri="{FF2B5EF4-FFF2-40B4-BE49-F238E27FC236}">
              <a16:creationId xmlns:a16="http://schemas.microsoft.com/office/drawing/2014/main" id="{00000000-0008-0000-0200-000016000000}"/>
            </a:ext>
          </a:extLst>
        </xdr:cNvPr>
        <xdr:cNvSpPr>
          <a:spLocks noChangeArrowheads="1"/>
        </xdr:cNvSpPr>
      </xdr:nvSpPr>
      <xdr:spPr bwMode="auto">
        <a:xfrm>
          <a:off x="7829550" y="10561320"/>
          <a:ext cx="1905" cy="384810"/>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23" name="Rectangle 66">
          <a:extLst>
            <a:ext uri="{FF2B5EF4-FFF2-40B4-BE49-F238E27FC236}">
              <a16:creationId xmlns:a16="http://schemas.microsoft.com/office/drawing/2014/main" id="{00000000-0008-0000-0200-000017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129</xdr:row>
      <xdr:rowOff>219075</xdr:rowOff>
    </xdr:from>
    <xdr:to>
      <xdr:col>5</xdr:col>
      <xdr:colOff>1543050</xdr:colOff>
      <xdr:row>131</xdr:row>
      <xdr:rowOff>0</xdr:rowOff>
    </xdr:to>
    <xdr:sp macro="" textlink="">
      <xdr:nvSpPr>
        <xdr:cNvPr id="24" name="Rectangle 66">
          <a:extLst>
            <a:ext uri="{FF2B5EF4-FFF2-40B4-BE49-F238E27FC236}">
              <a16:creationId xmlns:a16="http://schemas.microsoft.com/office/drawing/2014/main" id="{00000000-0008-0000-0200-000018000000}"/>
            </a:ext>
          </a:extLst>
        </xdr:cNvPr>
        <xdr:cNvSpPr>
          <a:spLocks noChangeArrowheads="1"/>
        </xdr:cNvSpPr>
      </xdr:nvSpPr>
      <xdr:spPr bwMode="auto">
        <a:xfrm>
          <a:off x="72256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4</xdr:col>
      <xdr:colOff>1190625</xdr:colOff>
      <xdr:row>129</xdr:row>
      <xdr:rowOff>219075</xdr:rowOff>
    </xdr:from>
    <xdr:to>
      <xdr:col>4</xdr:col>
      <xdr:colOff>1543050</xdr:colOff>
      <xdr:row>131</xdr:row>
      <xdr:rowOff>0</xdr:rowOff>
    </xdr:to>
    <xdr:sp macro="" textlink="">
      <xdr:nvSpPr>
        <xdr:cNvPr id="25" name="Rectangle 66">
          <a:extLst>
            <a:ext uri="{FF2B5EF4-FFF2-40B4-BE49-F238E27FC236}">
              <a16:creationId xmlns:a16="http://schemas.microsoft.com/office/drawing/2014/main" id="{00000000-0008-0000-0200-000019000000}"/>
            </a:ext>
          </a:extLst>
        </xdr:cNvPr>
        <xdr:cNvSpPr>
          <a:spLocks noChangeArrowheads="1"/>
        </xdr:cNvSpPr>
      </xdr:nvSpPr>
      <xdr:spPr bwMode="auto">
        <a:xfrm>
          <a:off x="66160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129</xdr:row>
      <xdr:rowOff>219075</xdr:rowOff>
    </xdr:from>
    <xdr:to>
      <xdr:col>5</xdr:col>
      <xdr:colOff>1543050</xdr:colOff>
      <xdr:row>131</xdr:row>
      <xdr:rowOff>0</xdr:rowOff>
    </xdr:to>
    <xdr:sp macro="" textlink="">
      <xdr:nvSpPr>
        <xdr:cNvPr id="26" name="Rectangle 66">
          <a:extLst>
            <a:ext uri="{FF2B5EF4-FFF2-40B4-BE49-F238E27FC236}">
              <a16:creationId xmlns:a16="http://schemas.microsoft.com/office/drawing/2014/main" id="{00000000-0008-0000-0200-00001A000000}"/>
            </a:ext>
          </a:extLst>
        </xdr:cNvPr>
        <xdr:cNvSpPr>
          <a:spLocks noChangeArrowheads="1"/>
        </xdr:cNvSpPr>
      </xdr:nvSpPr>
      <xdr:spPr bwMode="auto">
        <a:xfrm>
          <a:off x="72256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27" name="Rectangle 66">
          <a:extLst>
            <a:ext uri="{FF2B5EF4-FFF2-40B4-BE49-F238E27FC236}">
              <a16:creationId xmlns:a16="http://schemas.microsoft.com/office/drawing/2014/main" id="{00000000-0008-0000-0200-00001B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28" name="Rectangle 66">
          <a:extLst>
            <a:ext uri="{FF2B5EF4-FFF2-40B4-BE49-F238E27FC236}">
              <a16:creationId xmlns:a16="http://schemas.microsoft.com/office/drawing/2014/main" id="{00000000-0008-0000-0200-00001C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6</xdr:col>
      <xdr:colOff>1190625</xdr:colOff>
      <xdr:row>129</xdr:row>
      <xdr:rowOff>219075</xdr:rowOff>
    </xdr:from>
    <xdr:to>
      <xdr:col>6</xdr:col>
      <xdr:colOff>1543050</xdr:colOff>
      <xdr:row>131</xdr:row>
      <xdr:rowOff>0</xdr:rowOff>
    </xdr:to>
    <xdr:sp macro="" textlink="">
      <xdr:nvSpPr>
        <xdr:cNvPr id="29" name="Rectangle 66">
          <a:extLst>
            <a:ext uri="{FF2B5EF4-FFF2-40B4-BE49-F238E27FC236}">
              <a16:creationId xmlns:a16="http://schemas.microsoft.com/office/drawing/2014/main" id="{00000000-0008-0000-0200-00001D000000}"/>
            </a:ext>
          </a:extLst>
        </xdr:cNvPr>
        <xdr:cNvSpPr>
          <a:spLocks noChangeArrowheads="1"/>
        </xdr:cNvSpPr>
      </xdr:nvSpPr>
      <xdr:spPr bwMode="auto">
        <a:xfrm>
          <a:off x="78352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30" name="Rectangle 66">
          <a:extLst>
            <a:ext uri="{FF2B5EF4-FFF2-40B4-BE49-F238E27FC236}">
              <a16:creationId xmlns:a16="http://schemas.microsoft.com/office/drawing/2014/main" id="{00000000-0008-0000-0200-00001E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31" name="Rectangle 66">
          <a:extLst>
            <a:ext uri="{FF2B5EF4-FFF2-40B4-BE49-F238E27FC236}">
              <a16:creationId xmlns:a16="http://schemas.microsoft.com/office/drawing/2014/main" id="{00000000-0008-0000-0200-00001F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32" name="Rectangle 66">
          <a:extLst>
            <a:ext uri="{FF2B5EF4-FFF2-40B4-BE49-F238E27FC236}">
              <a16:creationId xmlns:a16="http://schemas.microsoft.com/office/drawing/2014/main" id="{00000000-0008-0000-0200-000020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33" name="Rectangle 66">
          <a:extLst>
            <a:ext uri="{FF2B5EF4-FFF2-40B4-BE49-F238E27FC236}">
              <a16:creationId xmlns:a16="http://schemas.microsoft.com/office/drawing/2014/main" id="{00000000-0008-0000-0200-000021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34" name="Rectangle 66">
          <a:extLst>
            <a:ext uri="{FF2B5EF4-FFF2-40B4-BE49-F238E27FC236}">
              <a16:creationId xmlns:a16="http://schemas.microsoft.com/office/drawing/2014/main" id="{00000000-0008-0000-0200-000022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129</xdr:row>
      <xdr:rowOff>219075</xdr:rowOff>
    </xdr:from>
    <xdr:to>
      <xdr:col>5</xdr:col>
      <xdr:colOff>1543050</xdr:colOff>
      <xdr:row>131</xdr:row>
      <xdr:rowOff>0</xdr:rowOff>
    </xdr:to>
    <xdr:sp macro="" textlink="">
      <xdr:nvSpPr>
        <xdr:cNvPr id="35" name="Rectangle 66">
          <a:extLst>
            <a:ext uri="{FF2B5EF4-FFF2-40B4-BE49-F238E27FC236}">
              <a16:creationId xmlns:a16="http://schemas.microsoft.com/office/drawing/2014/main" id="{00000000-0008-0000-0200-000023000000}"/>
            </a:ext>
          </a:extLst>
        </xdr:cNvPr>
        <xdr:cNvSpPr>
          <a:spLocks noChangeArrowheads="1"/>
        </xdr:cNvSpPr>
      </xdr:nvSpPr>
      <xdr:spPr bwMode="auto">
        <a:xfrm>
          <a:off x="72256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5</xdr:col>
      <xdr:colOff>1190625</xdr:colOff>
      <xdr:row>129</xdr:row>
      <xdr:rowOff>219075</xdr:rowOff>
    </xdr:from>
    <xdr:to>
      <xdr:col>5</xdr:col>
      <xdr:colOff>1543050</xdr:colOff>
      <xdr:row>131</xdr:row>
      <xdr:rowOff>0</xdr:rowOff>
    </xdr:to>
    <xdr:sp macro="" textlink="">
      <xdr:nvSpPr>
        <xdr:cNvPr id="36" name="Rectangle 66">
          <a:extLst>
            <a:ext uri="{FF2B5EF4-FFF2-40B4-BE49-F238E27FC236}">
              <a16:creationId xmlns:a16="http://schemas.microsoft.com/office/drawing/2014/main" id="{00000000-0008-0000-0200-000024000000}"/>
            </a:ext>
          </a:extLst>
        </xdr:cNvPr>
        <xdr:cNvSpPr>
          <a:spLocks noChangeArrowheads="1"/>
        </xdr:cNvSpPr>
      </xdr:nvSpPr>
      <xdr:spPr bwMode="auto">
        <a:xfrm>
          <a:off x="7225665" y="10559415"/>
          <a:ext cx="0"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twoCellAnchor>
    <xdr:from>
      <xdr:col>3</xdr:col>
      <xdr:colOff>1190625</xdr:colOff>
      <xdr:row>129</xdr:row>
      <xdr:rowOff>219075</xdr:rowOff>
    </xdr:from>
    <xdr:to>
      <xdr:col>3</xdr:col>
      <xdr:colOff>1543050</xdr:colOff>
      <xdr:row>131</xdr:row>
      <xdr:rowOff>0</xdr:rowOff>
    </xdr:to>
    <xdr:sp macro="" textlink="">
      <xdr:nvSpPr>
        <xdr:cNvPr id="37" name="Rectangle 66">
          <a:extLst>
            <a:ext uri="{FF2B5EF4-FFF2-40B4-BE49-F238E27FC236}">
              <a16:creationId xmlns:a16="http://schemas.microsoft.com/office/drawing/2014/main" id="{00000000-0008-0000-0200-000025000000}"/>
            </a:ext>
          </a:extLst>
        </xdr:cNvPr>
        <xdr:cNvSpPr>
          <a:spLocks noChangeArrowheads="1"/>
        </xdr:cNvSpPr>
      </xdr:nvSpPr>
      <xdr:spPr bwMode="auto">
        <a:xfrm>
          <a:off x="2455545" y="10559415"/>
          <a:ext cx="352425" cy="184785"/>
        </a:xfrm>
        <a:prstGeom prst="rect">
          <a:avLst/>
        </a:prstGeom>
        <a:noFill/>
        <a:ln w="9525">
          <a:noFill/>
          <a:miter lim="800000"/>
          <a:headEnd/>
          <a:tailEnd/>
        </a:ln>
        <a:effectLst>
          <a:outerShdw sy="50000" rotWithShape="0">
            <a:srgbClr val="808080">
              <a:alpha val="50000"/>
            </a:srgbClr>
          </a:outerShdw>
        </a:effectLst>
      </xdr:spPr>
      <xdr:txBody>
        <a:bodyPr vertOverflow="clip" wrap="square" lIns="36576" tIns="27432" rIns="36576" bIns="0" anchor="t" upright="1"/>
        <a:lstStyle/>
        <a:p>
          <a:pPr algn="ctr" rtl="0">
            <a:defRPr sz="1000"/>
          </a:pPr>
          <a:endParaRPr lang="en-AU" sz="1200" b="1" i="0" u="none" strike="noStrike" baseline="0">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1562100</xdr:colOff>
      <xdr:row>8</xdr:row>
      <xdr:rowOff>57150</xdr:rowOff>
    </xdr:from>
    <xdr:to>
      <xdr:col>12</xdr:col>
      <xdr:colOff>463549</xdr:colOff>
      <xdr:row>34</xdr:row>
      <xdr:rowOff>168275</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0.03574</cdr:x>
      <cdr:y>0.86585</cdr:y>
    </cdr:from>
    <cdr:to>
      <cdr:x>0.18175</cdr:x>
      <cdr:y>0.96306</cdr:y>
    </cdr:to>
    <cdr:sp macro="" textlink="">
      <cdr:nvSpPr>
        <cdr:cNvPr id="2" name="TextBox 1"/>
        <cdr:cNvSpPr txBox="1"/>
      </cdr:nvSpPr>
      <cdr:spPr>
        <a:xfrm xmlns:a="http://schemas.openxmlformats.org/drawingml/2006/main">
          <a:off x="294110" y="4241800"/>
          <a:ext cx="1201585" cy="4762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n-AU" sz="1100">
              <a:solidFill>
                <a:schemeClr val="tx2"/>
              </a:solidFill>
              <a:latin typeface="Arial" panose="020B0604020202020204" pitchFamily="34" charset="0"/>
              <a:cs typeface="Arial" panose="020B0604020202020204" pitchFamily="34" charset="0"/>
            </a:rPr>
            <a:t>0 = Absolute</a:t>
          </a:r>
          <a:r>
            <a:rPr lang="en-AU" sz="1100" baseline="0">
              <a:solidFill>
                <a:schemeClr val="tx2"/>
              </a:solidFill>
              <a:latin typeface="Arial" panose="020B0604020202020204" pitchFamily="34" charset="0"/>
              <a:cs typeface="Arial" panose="020B0604020202020204" pitchFamily="34" charset="0"/>
            </a:rPr>
            <a:t> perfection</a:t>
          </a:r>
          <a:endParaRPr lang="en-AU" sz="11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0.02076</cdr:x>
      <cdr:y>0.59624</cdr:y>
    </cdr:from>
    <cdr:to>
      <cdr:x>0.16449</cdr:x>
      <cdr:y>0.69994</cdr:y>
    </cdr:to>
    <cdr:sp macro="" textlink="">
      <cdr:nvSpPr>
        <cdr:cNvPr id="3" name="TextBox 2"/>
        <cdr:cNvSpPr txBox="1"/>
      </cdr:nvSpPr>
      <cdr:spPr>
        <a:xfrm xmlns:a="http://schemas.openxmlformats.org/drawingml/2006/main">
          <a:off x="170864" y="2921000"/>
          <a:ext cx="1182809" cy="508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AU" sz="1100">
              <a:solidFill>
                <a:schemeClr val="tx2"/>
              </a:solidFill>
              <a:latin typeface="Arial" panose="020B0604020202020204" pitchFamily="34" charset="0"/>
              <a:cs typeface="Arial" panose="020B0604020202020204" pitchFamily="34" charset="0"/>
            </a:rPr>
            <a:t>Surface imperfections</a:t>
          </a:r>
        </a:p>
      </cdr:txBody>
    </cdr:sp>
  </cdr:relSizeAnchor>
  <cdr:relSizeAnchor xmlns:cdr="http://schemas.openxmlformats.org/drawingml/2006/chartDrawing">
    <cdr:from>
      <cdr:x>0.02968</cdr:x>
      <cdr:y>0.44848</cdr:y>
    </cdr:from>
    <cdr:to>
      <cdr:x>0.18634</cdr:x>
      <cdr:y>0.56384</cdr:y>
    </cdr:to>
    <cdr:sp macro="" textlink="">
      <cdr:nvSpPr>
        <cdr:cNvPr id="4" name="TextBox 3"/>
        <cdr:cNvSpPr txBox="1"/>
      </cdr:nvSpPr>
      <cdr:spPr>
        <a:xfrm xmlns:a="http://schemas.openxmlformats.org/drawingml/2006/main">
          <a:off x="244281" y="2197100"/>
          <a:ext cx="1289199" cy="565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n-AU" sz="1100">
              <a:solidFill>
                <a:schemeClr val="tx2"/>
              </a:solidFill>
              <a:latin typeface="Arial" panose="020B0604020202020204" pitchFamily="34" charset="0"/>
              <a:cs typeface="Arial" panose="020B0604020202020204" pitchFamily="34" charset="0"/>
            </a:rPr>
            <a:t>Frequent minor depressions</a:t>
          </a:r>
        </a:p>
      </cdr:txBody>
    </cdr:sp>
  </cdr:relSizeAnchor>
  <cdr:relSizeAnchor xmlns:cdr="http://schemas.openxmlformats.org/drawingml/2006/chartDrawing">
    <cdr:from>
      <cdr:x>0.0221</cdr:x>
      <cdr:y>0.26442</cdr:y>
    </cdr:from>
    <cdr:to>
      <cdr:x>0.15898</cdr:x>
      <cdr:y>0.43422</cdr:y>
    </cdr:to>
    <cdr:sp macro="" textlink="">
      <cdr:nvSpPr>
        <cdr:cNvPr id="5" name="TextBox 4"/>
        <cdr:cNvSpPr txBox="1"/>
      </cdr:nvSpPr>
      <cdr:spPr>
        <a:xfrm xmlns:a="http://schemas.openxmlformats.org/drawingml/2006/main">
          <a:off x="181879" y="1295400"/>
          <a:ext cx="1126485" cy="831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100">
              <a:solidFill>
                <a:schemeClr val="tx2"/>
              </a:solidFill>
              <a:latin typeface="Arial" panose="020B0604020202020204" pitchFamily="34" charset="0"/>
              <a:cs typeface="Arial" panose="020B0604020202020204" pitchFamily="34" charset="0"/>
            </a:rPr>
            <a:t>Frequent shallow depressions, some deep</a:t>
          </a:r>
        </a:p>
      </cdr:txBody>
    </cdr:sp>
  </cdr:relSizeAnchor>
  <cdr:relSizeAnchor xmlns:cdr="http://schemas.openxmlformats.org/drawingml/2006/chartDrawing">
    <cdr:from>
      <cdr:x>0.02194</cdr:x>
      <cdr:y>0.05444</cdr:y>
    </cdr:from>
    <cdr:to>
      <cdr:x>0.1573</cdr:x>
      <cdr:y>0.21776</cdr:y>
    </cdr:to>
    <cdr:sp macro="" textlink="">
      <cdr:nvSpPr>
        <cdr:cNvPr id="6" name="TextBox 5"/>
        <cdr:cNvSpPr txBox="1"/>
      </cdr:nvSpPr>
      <cdr:spPr>
        <a:xfrm xmlns:a="http://schemas.openxmlformats.org/drawingml/2006/main">
          <a:off x="180572" y="266700"/>
          <a:ext cx="1113969" cy="800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100">
              <a:solidFill>
                <a:schemeClr val="tx2"/>
              </a:solidFill>
              <a:latin typeface="Arial" panose="020B0604020202020204" pitchFamily="34" charset="0"/>
              <a:cs typeface="Arial" panose="020B0604020202020204" pitchFamily="34" charset="0"/>
            </a:rPr>
            <a:t>Erosion gulleys and deep depressions</a:t>
          </a:r>
        </a:p>
      </cdr:txBody>
    </cdr:sp>
  </cdr:relSizeAnchor>
  <cdr:relSizeAnchor xmlns:cdr="http://schemas.openxmlformats.org/drawingml/2006/chartDrawing">
    <cdr:from>
      <cdr:x>0.15938</cdr:x>
      <cdr:y>0</cdr:y>
    </cdr:from>
    <cdr:to>
      <cdr:x>0.21413</cdr:x>
      <cdr:y>0.03759</cdr:y>
    </cdr:to>
    <cdr:sp macro="" textlink="">
      <cdr:nvSpPr>
        <cdr:cNvPr id="7" name="TextBox 6"/>
        <cdr:cNvSpPr txBox="1"/>
      </cdr:nvSpPr>
      <cdr:spPr>
        <a:xfrm xmlns:a="http://schemas.openxmlformats.org/drawingml/2006/main">
          <a:off x="1311636" y="0"/>
          <a:ext cx="450594" cy="184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200">
              <a:solidFill>
                <a:schemeClr val="tx2"/>
              </a:solidFill>
              <a:latin typeface="Arial" panose="020B0604020202020204" pitchFamily="34" charset="0"/>
              <a:cs typeface="Arial" panose="020B0604020202020204" pitchFamily="34" charset="0"/>
            </a:rPr>
            <a:t>IRI</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ee2\financeman\CommMan\ECONOMIC%20POLICY%20STRATEGY%20AND%20PLANNING\Economic%20Analysis%20Tools\Final%20v1\Updated%20Versions%202013_14%20values\Bus%20Acquisition%20CBA%20Too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ructions"/>
      <sheetName val="Inputs"/>
      <sheetName val="CBA Results"/>
      <sheetName val="Detailed CBA"/>
      <sheetName val="Demand"/>
      <sheetName val="Sensitivity Inputs"/>
      <sheetName val="Sensitivity Results"/>
      <sheetName val="Sensitivity Model"/>
      <sheetName val="Sensitivity Demand"/>
      <sheetName val="Data"/>
      <sheetName val="Boardings"/>
      <sheetName val="Services"/>
      <sheetName val="Kilometers"/>
      <sheetName val="Bus Route List"/>
      <sheetName val="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v>130</v>
          </cell>
        </row>
        <row r="2">
          <cell r="A2">
            <v>131</v>
          </cell>
        </row>
        <row r="3">
          <cell r="A3">
            <v>132</v>
          </cell>
        </row>
        <row r="4">
          <cell r="A4">
            <v>135</v>
          </cell>
        </row>
        <row r="5">
          <cell r="A5">
            <v>136</v>
          </cell>
        </row>
        <row r="6">
          <cell r="A6">
            <v>137</v>
          </cell>
        </row>
        <row r="7">
          <cell r="A7">
            <v>139</v>
          </cell>
        </row>
        <row r="8">
          <cell r="A8">
            <v>140</v>
          </cell>
        </row>
        <row r="9">
          <cell r="A9">
            <v>142</v>
          </cell>
        </row>
        <row r="10">
          <cell r="A10">
            <v>143</v>
          </cell>
        </row>
        <row r="11">
          <cell r="A11">
            <v>144</v>
          </cell>
        </row>
        <row r="12">
          <cell r="A12">
            <v>145</v>
          </cell>
        </row>
        <row r="13">
          <cell r="A13">
            <v>151</v>
          </cell>
        </row>
        <row r="14">
          <cell r="A14">
            <v>153</v>
          </cell>
        </row>
        <row r="15">
          <cell r="A15">
            <v>155</v>
          </cell>
        </row>
        <row r="16">
          <cell r="A16">
            <v>156</v>
          </cell>
        </row>
        <row r="17">
          <cell r="A17">
            <v>158</v>
          </cell>
        </row>
        <row r="18">
          <cell r="A18">
            <v>159</v>
          </cell>
        </row>
        <row r="19">
          <cell r="A19">
            <v>168</v>
          </cell>
        </row>
        <row r="20">
          <cell r="A20">
            <v>169</v>
          </cell>
        </row>
        <row r="21">
          <cell r="A21">
            <v>171</v>
          </cell>
        </row>
        <row r="22">
          <cell r="A22">
            <v>173</v>
          </cell>
        </row>
        <row r="23">
          <cell r="A23">
            <v>175</v>
          </cell>
        </row>
        <row r="24">
          <cell r="A24">
            <v>176</v>
          </cell>
        </row>
        <row r="25">
          <cell r="A25">
            <v>178</v>
          </cell>
        </row>
        <row r="26">
          <cell r="A26">
            <v>179</v>
          </cell>
        </row>
        <row r="27">
          <cell r="A27">
            <v>180</v>
          </cell>
        </row>
        <row r="28">
          <cell r="A28">
            <v>182</v>
          </cell>
        </row>
        <row r="29">
          <cell r="A29">
            <v>183</v>
          </cell>
        </row>
        <row r="30">
          <cell r="A30">
            <v>184</v>
          </cell>
        </row>
        <row r="31">
          <cell r="A31">
            <v>185</v>
          </cell>
        </row>
        <row r="32">
          <cell r="A32">
            <v>187</v>
          </cell>
        </row>
        <row r="33">
          <cell r="A33">
            <v>188</v>
          </cell>
        </row>
        <row r="34">
          <cell r="A34">
            <v>189</v>
          </cell>
        </row>
        <row r="35">
          <cell r="A35">
            <v>190</v>
          </cell>
        </row>
        <row r="36">
          <cell r="A36">
            <v>191</v>
          </cell>
        </row>
        <row r="37">
          <cell r="A37">
            <v>192</v>
          </cell>
        </row>
        <row r="38">
          <cell r="A38">
            <v>194</v>
          </cell>
        </row>
        <row r="39">
          <cell r="A39">
            <v>195</v>
          </cell>
        </row>
        <row r="40">
          <cell r="A40">
            <v>196</v>
          </cell>
        </row>
        <row r="41">
          <cell r="A41">
            <v>197</v>
          </cell>
        </row>
        <row r="42">
          <cell r="A42">
            <v>200</v>
          </cell>
        </row>
        <row r="43">
          <cell r="A43">
            <v>201</v>
          </cell>
        </row>
        <row r="44">
          <cell r="A44">
            <v>202</v>
          </cell>
        </row>
        <row r="45">
          <cell r="A45">
            <v>203</v>
          </cell>
        </row>
        <row r="46">
          <cell r="A46">
            <v>204</v>
          </cell>
        </row>
        <row r="47">
          <cell r="A47">
            <v>205</v>
          </cell>
        </row>
        <row r="48">
          <cell r="A48">
            <v>206</v>
          </cell>
        </row>
        <row r="49">
          <cell r="A49">
            <v>207</v>
          </cell>
        </row>
        <row r="50">
          <cell r="A50">
            <v>208</v>
          </cell>
        </row>
        <row r="51">
          <cell r="A51">
            <v>209</v>
          </cell>
        </row>
        <row r="52">
          <cell r="A52">
            <v>210</v>
          </cell>
        </row>
        <row r="53">
          <cell r="A53">
            <v>225</v>
          </cell>
        </row>
        <row r="54">
          <cell r="A54">
            <v>227</v>
          </cell>
        </row>
        <row r="55">
          <cell r="A55">
            <v>228</v>
          </cell>
        </row>
        <row r="56">
          <cell r="A56">
            <v>229</v>
          </cell>
        </row>
        <row r="57">
          <cell r="A57">
            <v>230</v>
          </cell>
        </row>
        <row r="58">
          <cell r="A58">
            <v>236</v>
          </cell>
        </row>
        <row r="59">
          <cell r="A59">
            <v>238</v>
          </cell>
        </row>
        <row r="60">
          <cell r="A60">
            <v>243</v>
          </cell>
        </row>
        <row r="61">
          <cell r="A61">
            <v>244</v>
          </cell>
        </row>
        <row r="62">
          <cell r="A62">
            <v>245</v>
          </cell>
        </row>
        <row r="63">
          <cell r="A63">
            <v>246</v>
          </cell>
        </row>
        <row r="64">
          <cell r="A64">
            <v>247</v>
          </cell>
        </row>
        <row r="65">
          <cell r="A65">
            <v>248</v>
          </cell>
        </row>
        <row r="66">
          <cell r="A66">
            <v>249</v>
          </cell>
        </row>
        <row r="67">
          <cell r="A67">
            <v>251</v>
          </cell>
        </row>
        <row r="68">
          <cell r="A68">
            <v>252</v>
          </cell>
        </row>
        <row r="69">
          <cell r="A69">
            <v>253</v>
          </cell>
        </row>
        <row r="70">
          <cell r="A70">
            <v>254</v>
          </cell>
        </row>
        <row r="71">
          <cell r="A71">
            <v>255</v>
          </cell>
        </row>
        <row r="72">
          <cell r="A72">
            <v>256</v>
          </cell>
        </row>
        <row r="73">
          <cell r="A73">
            <v>257</v>
          </cell>
        </row>
        <row r="74">
          <cell r="A74">
            <v>258</v>
          </cell>
        </row>
        <row r="75">
          <cell r="A75">
            <v>261</v>
          </cell>
        </row>
        <row r="76">
          <cell r="A76">
            <v>263</v>
          </cell>
        </row>
        <row r="77">
          <cell r="A77">
            <v>265</v>
          </cell>
        </row>
        <row r="78">
          <cell r="A78">
            <v>267</v>
          </cell>
        </row>
        <row r="79">
          <cell r="A79">
            <v>269</v>
          </cell>
        </row>
        <row r="80">
          <cell r="A80">
            <v>270</v>
          </cell>
        </row>
        <row r="81">
          <cell r="A81">
            <v>272</v>
          </cell>
        </row>
        <row r="82">
          <cell r="A82">
            <v>273</v>
          </cell>
        </row>
        <row r="83">
          <cell r="A83">
            <v>275</v>
          </cell>
        </row>
        <row r="84">
          <cell r="A84">
            <v>277</v>
          </cell>
        </row>
        <row r="85">
          <cell r="A85">
            <v>278</v>
          </cell>
        </row>
        <row r="86">
          <cell r="A86">
            <v>279</v>
          </cell>
        </row>
        <row r="87">
          <cell r="A87">
            <v>280</v>
          </cell>
        </row>
        <row r="88">
          <cell r="A88">
            <v>281</v>
          </cell>
        </row>
        <row r="89">
          <cell r="A89">
            <v>282</v>
          </cell>
        </row>
        <row r="90">
          <cell r="A90">
            <v>283</v>
          </cell>
        </row>
        <row r="91">
          <cell r="A91">
            <v>284</v>
          </cell>
        </row>
        <row r="92">
          <cell r="A92">
            <v>285</v>
          </cell>
        </row>
        <row r="93">
          <cell r="A93">
            <v>286</v>
          </cell>
        </row>
        <row r="94">
          <cell r="A94">
            <v>287</v>
          </cell>
        </row>
        <row r="95">
          <cell r="A95">
            <v>288</v>
          </cell>
        </row>
        <row r="96">
          <cell r="A96">
            <v>290</v>
          </cell>
        </row>
        <row r="97">
          <cell r="A97">
            <v>292</v>
          </cell>
        </row>
        <row r="98">
          <cell r="A98">
            <v>293</v>
          </cell>
        </row>
        <row r="99">
          <cell r="A99">
            <v>294</v>
          </cell>
        </row>
        <row r="100">
          <cell r="A100">
            <v>295</v>
          </cell>
        </row>
        <row r="101">
          <cell r="A101">
            <v>297</v>
          </cell>
        </row>
        <row r="102">
          <cell r="A102">
            <v>301</v>
          </cell>
        </row>
        <row r="103">
          <cell r="A103">
            <v>302</v>
          </cell>
        </row>
        <row r="104">
          <cell r="A104">
            <v>303</v>
          </cell>
        </row>
        <row r="105">
          <cell r="A105">
            <v>305</v>
          </cell>
        </row>
        <row r="106">
          <cell r="A106">
            <v>308</v>
          </cell>
        </row>
        <row r="107">
          <cell r="A107">
            <v>309</v>
          </cell>
        </row>
        <row r="108">
          <cell r="A108">
            <v>31</v>
          </cell>
        </row>
        <row r="109">
          <cell r="A109">
            <v>310</v>
          </cell>
        </row>
        <row r="110">
          <cell r="A110">
            <v>311</v>
          </cell>
        </row>
        <row r="111">
          <cell r="A111">
            <v>313</v>
          </cell>
        </row>
        <row r="112">
          <cell r="A112">
            <v>314</v>
          </cell>
        </row>
        <row r="113">
          <cell r="A113">
            <v>316</v>
          </cell>
        </row>
        <row r="114">
          <cell r="A114">
            <v>317</v>
          </cell>
        </row>
        <row r="115">
          <cell r="A115">
            <v>32</v>
          </cell>
        </row>
        <row r="116">
          <cell r="A116">
            <v>323</v>
          </cell>
        </row>
        <row r="117">
          <cell r="A117">
            <v>324</v>
          </cell>
        </row>
        <row r="118">
          <cell r="A118">
            <v>325</v>
          </cell>
        </row>
        <row r="119">
          <cell r="A119">
            <v>326</v>
          </cell>
        </row>
        <row r="120">
          <cell r="A120">
            <v>327</v>
          </cell>
        </row>
        <row r="121">
          <cell r="A121">
            <v>333</v>
          </cell>
        </row>
        <row r="122">
          <cell r="A122">
            <v>339</v>
          </cell>
        </row>
        <row r="123">
          <cell r="A123">
            <v>341</v>
          </cell>
        </row>
        <row r="124">
          <cell r="A124">
            <v>342</v>
          </cell>
        </row>
        <row r="125">
          <cell r="A125">
            <v>343</v>
          </cell>
        </row>
        <row r="126">
          <cell r="A126">
            <v>345</v>
          </cell>
        </row>
        <row r="127">
          <cell r="A127">
            <v>348</v>
          </cell>
        </row>
        <row r="128">
          <cell r="A128">
            <v>352</v>
          </cell>
        </row>
        <row r="129">
          <cell r="A129">
            <v>353</v>
          </cell>
        </row>
        <row r="130">
          <cell r="A130">
            <v>355</v>
          </cell>
        </row>
        <row r="131">
          <cell r="A131">
            <v>357</v>
          </cell>
        </row>
        <row r="132">
          <cell r="A132">
            <v>360</v>
          </cell>
        </row>
        <row r="133">
          <cell r="A133">
            <v>361</v>
          </cell>
        </row>
        <row r="134">
          <cell r="A134">
            <v>370</v>
          </cell>
        </row>
        <row r="135">
          <cell r="A135">
            <v>372</v>
          </cell>
        </row>
        <row r="136">
          <cell r="A136">
            <v>373</v>
          </cell>
        </row>
        <row r="137">
          <cell r="A137">
            <v>374</v>
          </cell>
        </row>
        <row r="138">
          <cell r="A138">
            <v>376</v>
          </cell>
        </row>
        <row r="139">
          <cell r="A139">
            <v>377</v>
          </cell>
        </row>
        <row r="140">
          <cell r="A140">
            <v>378</v>
          </cell>
        </row>
        <row r="141">
          <cell r="A141">
            <v>38</v>
          </cell>
        </row>
        <row r="142">
          <cell r="A142">
            <v>380</v>
          </cell>
        </row>
        <row r="143">
          <cell r="A143">
            <v>381</v>
          </cell>
        </row>
        <row r="144">
          <cell r="A144">
            <v>382</v>
          </cell>
        </row>
        <row r="145">
          <cell r="A145">
            <v>386</v>
          </cell>
        </row>
        <row r="146">
          <cell r="A146">
            <v>387</v>
          </cell>
        </row>
        <row r="147">
          <cell r="A147">
            <v>389</v>
          </cell>
        </row>
        <row r="148">
          <cell r="A148">
            <v>391</v>
          </cell>
        </row>
        <row r="149">
          <cell r="A149">
            <v>392</v>
          </cell>
        </row>
        <row r="150">
          <cell r="A150">
            <v>393</v>
          </cell>
        </row>
        <row r="151">
          <cell r="A151">
            <v>394</v>
          </cell>
        </row>
        <row r="152">
          <cell r="A152">
            <v>395</v>
          </cell>
        </row>
        <row r="153">
          <cell r="A153">
            <v>396</v>
          </cell>
        </row>
        <row r="154">
          <cell r="A154">
            <v>397</v>
          </cell>
        </row>
        <row r="155">
          <cell r="A155">
            <v>399</v>
          </cell>
        </row>
        <row r="156">
          <cell r="A156">
            <v>400</v>
          </cell>
        </row>
        <row r="157">
          <cell r="A157">
            <v>401</v>
          </cell>
        </row>
        <row r="158">
          <cell r="A158">
            <v>406</v>
          </cell>
        </row>
        <row r="159">
          <cell r="A159">
            <v>407</v>
          </cell>
        </row>
        <row r="160">
          <cell r="A160">
            <v>408</v>
          </cell>
        </row>
        <row r="161">
          <cell r="A161">
            <v>410</v>
          </cell>
        </row>
        <row r="162">
          <cell r="A162">
            <v>412</v>
          </cell>
        </row>
        <row r="163">
          <cell r="A163">
            <v>413</v>
          </cell>
        </row>
        <row r="164">
          <cell r="A164">
            <v>415</v>
          </cell>
        </row>
        <row r="165">
          <cell r="A165">
            <v>418</v>
          </cell>
        </row>
        <row r="166">
          <cell r="A166">
            <v>422</v>
          </cell>
        </row>
        <row r="167">
          <cell r="A167">
            <v>423</v>
          </cell>
        </row>
        <row r="168">
          <cell r="A168">
            <v>426</v>
          </cell>
        </row>
        <row r="169">
          <cell r="A169">
            <v>428</v>
          </cell>
        </row>
        <row r="170">
          <cell r="A170">
            <v>430</v>
          </cell>
        </row>
        <row r="171">
          <cell r="A171">
            <v>431</v>
          </cell>
        </row>
        <row r="172">
          <cell r="A172">
            <v>433</v>
          </cell>
        </row>
        <row r="173">
          <cell r="A173">
            <v>436</v>
          </cell>
        </row>
        <row r="174">
          <cell r="A174">
            <v>438</v>
          </cell>
        </row>
        <row r="175">
          <cell r="A175">
            <v>439</v>
          </cell>
        </row>
        <row r="176">
          <cell r="A176">
            <v>440</v>
          </cell>
        </row>
        <row r="177">
          <cell r="A177">
            <v>441</v>
          </cell>
        </row>
        <row r="178">
          <cell r="A178">
            <v>442</v>
          </cell>
        </row>
        <row r="179">
          <cell r="A179">
            <v>443</v>
          </cell>
        </row>
        <row r="180">
          <cell r="A180">
            <v>444</v>
          </cell>
        </row>
        <row r="181">
          <cell r="A181">
            <v>445</v>
          </cell>
        </row>
        <row r="182">
          <cell r="A182">
            <v>446</v>
          </cell>
        </row>
        <row r="183">
          <cell r="A183">
            <v>448</v>
          </cell>
        </row>
        <row r="184">
          <cell r="A184">
            <v>450</v>
          </cell>
        </row>
        <row r="185">
          <cell r="A185">
            <v>452</v>
          </cell>
        </row>
        <row r="186">
          <cell r="A186">
            <v>453</v>
          </cell>
        </row>
        <row r="187">
          <cell r="A187">
            <v>455</v>
          </cell>
        </row>
        <row r="188">
          <cell r="A188">
            <v>458</v>
          </cell>
        </row>
        <row r="189">
          <cell r="A189">
            <v>459</v>
          </cell>
        </row>
        <row r="190">
          <cell r="A190">
            <v>460</v>
          </cell>
        </row>
        <row r="191">
          <cell r="A191">
            <v>461</v>
          </cell>
        </row>
        <row r="192">
          <cell r="A192">
            <v>462</v>
          </cell>
        </row>
        <row r="193">
          <cell r="A193">
            <v>463</v>
          </cell>
        </row>
        <row r="194">
          <cell r="A194">
            <v>464</v>
          </cell>
        </row>
        <row r="195">
          <cell r="A195">
            <v>466</v>
          </cell>
        </row>
        <row r="196">
          <cell r="A196">
            <v>470</v>
          </cell>
        </row>
        <row r="197">
          <cell r="A197">
            <v>473</v>
          </cell>
        </row>
        <row r="198">
          <cell r="A198">
            <v>476</v>
          </cell>
        </row>
        <row r="199">
          <cell r="A199">
            <v>477</v>
          </cell>
        </row>
        <row r="200">
          <cell r="A200">
            <v>478</v>
          </cell>
        </row>
        <row r="201">
          <cell r="A201">
            <v>479</v>
          </cell>
        </row>
        <row r="202">
          <cell r="A202">
            <v>480</v>
          </cell>
        </row>
        <row r="203">
          <cell r="A203">
            <v>483</v>
          </cell>
        </row>
        <row r="204">
          <cell r="A204">
            <v>487</v>
          </cell>
        </row>
        <row r="205">
          <cell r="A205">
            <v>490</v>
          </cell>
        </row>
        <row r="206">
          <cell r="A206">
            <v>491</v>
          </cell>
        </row>
        <row r="207">
          <cell r="A207">
            <v>492</v>
          </cell>
        </row>
        <row r="208">
          <cell r="A208">
            <v>493</v>
          </cell>
        </row>
        <row r="209">
          <cell r="A209">
            <v>495</v>
          </cell>
        </row>
        <row r="210">
          <cell r="A210">
            <v>500</v>
          </cell>
        </row>
        <row r="211">
          <cell r="A211">
            <v>501</v>
          </cell>
        </row>
        <row r="212">
          <cell r="A212">
            <v>502</v>
          </cell>
        </row>
        <row r="213">
          <cell r="A213">
            <v>504</v>
          </cell>
        </row>
        <row r="214">
          <cell r="A214">
            <v>505</v>
          </cell>
        </row>
        <row r="215">
          <cell r="A215">
            <v>506</v>
          </cell>
        </row>
        <row r="216">
          <cell r="A216">
            <v>507</v>
          </cell>
        </row>
        <row r="217">
          <cell r="A217">
            <v>508</v>
          </cell>
        </row>
        <row r="218">
          <cell r="A218">
            <v>510</v>
          </cell>
        </row>
        <row r="219">
          <cell r="A219">
            <v>513</v>
          </cell>
        </row>
        <row r="220">
          <cell r="A220">
            <v>515</v>
          </cell>
        </row>
        <row r="221">
          <cell r="A221">
            <v>518</v>
          </cell>
        </row>
        <row r="222">
          <cell r="A222">
            <v>520</v>
          </cell>
        </row>
        <row r="223">
          <cell r="A223">
            <v>521</v>
          </cell>
        </row>
        <row r="224">
          <cell r="A224">
            <v>523</v>
          </cell>
        </row>
        <row r="225">
          <cell r="A225">
            <v>524</v>
          </cell>
        </row>
        <row r="226">
          <cell r="A226">
            <v>525</v>
          </cell>
        </row>
        <row r="227">
          <cell r="A227">
            <v>526</v>
          </cell>
        </row>
        <row r="228">
          <cell r="A228">
            <v>533</v>
          </cell>
        </row>
        <row r="229">
          <cell r="A229">
            <v>534</v>
          </cell>
        </row>
        <row r="230">
          <cell r="A230">
            <v>536</v>
          </cell>
        </row>
        <row r="231">
          <cell r="A231">
            <v>538</v>
          </cell>
        </row>
        <row r="232">
          <cell r="A232">
            <v>540</v>
          </cell>
        </row>
        <row r="233">
          <cell r="A233">
            <v>541</v>
          </cell>
        </row>
        <row r="234">
          <cell r="A234">
            <v>543</v>
          </cell>
        </row>
        <row r="235">
          <cell r="A235">
            <v>544</v>
          </cell>
        </row>
        <row r="236">
          <cell r="A236">
            <v>545</v>
          </cell>
        </row>
        <row r="237">
          <cell r="A237">
            <v>546</v>
          </cell>
        </row>
        <row r="238">
          <cell r="A238">
            <v>547</v>
          </cell>
        </row>
        <row r="239">
          <cell r="A239">
            <v>548</v>
          </cell>
        </row>
        <row r="240">
          <cell r="A240">
            <v>549</v>
          </cell>
        </row>
        <row r="241">
          <cell r="A241">
            <v>550</v>
          </cell>
        </row>
        <row r="242">
          <cell r="A242">
            <v>551</v>
          </cell>
        </row>
        <row r="243">
          <cell r="A243">
            <v>552</v>
          </cell>
        </row>
        <row r="244">
          <cell r="A244">
            <v>553</v>
          </cell>
        </row>
        <row r="245">
          <cell r="A245">
            <v>556</v>
          </cell>
        </row>
        <row r="246">
          <cell r="A246">
            <v>558</v>
          </cell>
        </row>
        <row r="247">
          <cell r="A247">
            <v>560</v>
          </cell>
        </row>
        <row r="248">
          <cell r="A248">
            <v>565</v>
          </cell>
        </row>
        <row r="249">
          <cell r="A249">
            <v>571</v>
          </cell>
        </row>
        <row r="250">
          <cell r="A250">
            <v>573</v>
          </cell>
        </row>
        <row r="251">
          <cell r="A251">
            <v>575</v>
          </cell>
        </row>
        <row r="252">
          <cell r="A252">
            <v>576</v>
          </cell>
        </row>
        <row r="253">
          <cell r="A253" t="str">
            <v>576T</v>
          </cell>
        </row>
        <row r="254">
          <cell r="A254">
            <v>577</v>
          </cell>
        </row>
        <row r="255">
          <cell r="A255">
            <v>579</v>
          </cell>
        </row>
        <row r="256">
          <cell r="A256">
            <v>582</v>
          </cell>
        </row>
        <row r="257">
          <cell r="A257">
            <v>587</v>
          </cell>
        </row>
        <row r="258">
          <cell r="A258">
            <v>588</v>
          </cell>
        </row>
        <row r="259">
          <cell r="A259">
            <v>589</v>
          </cell>
        </row>
        <row r="260">
          <cell r="A260">
            <v>592</v>
          </cell>
        </row>
        <row r="261">
          <cell r="A261">
            <v>594</v>
          </cell>
        </row>
        <row r="262">
          <cell r="A262" t="str">
            <v>594H</v>
          </cell>
        </row>
        <row r="263">
          <cell r="A263">
            <v>595</v>
          </cell>
        </row>
        <row r="264">
          <cell r="A264">
            <v>596</v>
          </cell>
        </row>
        <row r="265">
          <cell r="A265">
            <v>597</v>
          </cell>
        </row>
        <row r="266">
          <cell r="A266">
            <v>598</v>
          </cell>
        </row>
        <row r="267">
          <cell r="A267">
            <v>599</v>
          </cell>
        </row>
        <row r="268">
          <cell r="A268">
            <v>600</v>
          </cell>
        </row>
        <row r="269">
          <cell r="A269">
            <v>601</v>
          </cell>
        </row>
        <row r="270">
          <cell r="A270">
            <v>603</v>
          </cell>
        </row>
        <row r="271">
          <cell r="A271">
            <v>604</v>
          </cell>
        </row>
        <row r="272">
          <cell r="A272">
            <v>606</v>
          </cell>
        </row>
        <row r="273">
          <cell r="A273">
            <v>608</v>
          </cell>
        </row>
        <row r="274">
          <cell r="A274">
            <v>609</v>
          </cell>
        </row>
        <row r="275">
          <cell r="A275">
            <v>610</v>
          </cell>
        </row>
        <row r="276">
          <cell r="A276">
            <v>611</v>
          </cell>
        </row>
        <row r="277">
          <cell r="A277">
            <v>612</v>
          </cell>
        </row>
        <row r="278">
          <cell r="A278">
            <v>613</v>
          </cell>
        </row>
        <row r="279">
          <cell r="A279">
            <v>614</v>
          </cell>
        </row>
        <row r="280">
          <cell r="A280">
            <v>615</v>
          </cell>
        </row>
        <row r="281">
          <cell r="A281">
            <v>616</v>
          </cell>
        </row>
        <row r="282">
          <cell r="A282">
            <v>617</v>
          </cell>
        </row>
        <row r="283">
          <cell r="A283">
            <v>618</v>
          </cell>
        </row>
        <row r="284">
          <cell r="A284">
            <v>619</v>
          </cell>
        </row>
        <row r="285">
          <cell r="A285">
            <v>620</v>
          </cell>
        </row>
        <row r="286">
          <cell r="A286">
            <v>621</v>
          </cell>
        </row>
        <row r="287">
          <cell r="A287">
            <v>622</v>
          </cell>
        </row>
        <row r="288">
          <cell r="A288">
            <v>625</v>
          </cell>
        </row>
        <row r="289">
          <cell r="A289">
            <v>626</v>
          </cell>
        </row>
        <row r="290">
          <cell r="A290">
            <v>630</v>
          </cell>
        </row>
        <row r="291">
          <cell r="A291">
            <v>631</v>
          </cell>
        </row>
        <row r="292">
          <cell r="A292">
            <v>632</v>
          </cell>
        </row>
        <row r="293">
          <cell r="A293">
            <v>633</v>
          </cell>
        </row>
        <row r="294">
          <cell r="A294">
            <v>635</v>
          </cell>
        </row>
        <row r="295">
          <cell r="A295">
            <v>637</v>
          </cell>
        </row>
        <row r="296">
          <cell r="A296">
            <v>638</v>
          </cell>
        </row>
        <row r="297">
          <cell r="A297">
            <v>639</v>
          </cell>
        </row>
        <row r="298">
          <cell r="A298">
            <v>640</v>
          </cell>
        </row>
        <row r="299">
          <cell r="A299">
            <v>641</v>
          </cell>
        </row>
        <row r="300">
          <cell r="A300">
            <v>642</v>
          </cell>
        </row>
        <row r="301">
          <cell r="A301">
            <v>644</v>
          </cell>
        </row>
        <row r="302">
          <cell r="A302">
            <v>650</v>
          </cell>
        </row>
        <row r="303">
          <cell r="A303">
            <v>651</v>
          </cell>
        </row>
        <row r="304">
          <cell r="A304">
            <v>652</v>
          </cell>
        </row>
        <row r="305">
          <cell r="A305">
            <v>653</v>
          </cell>
        </row>
        <row r="306">
          <cell r="A306">
            <v>661</v>
          </cell>
        </row>
        <row r="307">
          <cell r="A307">
            <v>662</v>
          </cell>
        </row>
        <row r="308">
          <cell r="A308">
            <v>663</v>
          </cell>
        </row>
        <row r="309">
          <cell r="A309">
            <v>664</v>
          </cell>
        </row>
        <row r="310">
          <cell r="A310">
            <v>668</v>
          </cell>
        </row>
        <row r="311">
          <cell r="A311">
            <v>669</v>
          </cell>
        </row>
        <row r="312">
          <cell r="A312">
            <v>673</v>
          </cell>
        </row>
        <row r="313">
          <cell r="A313">
            <v>674</v>
          </cell>
        </row>
        <row r="314">
          <cell r="A314">
            <v>675</v>
          </cell>
        </row>
        <row r="315">
          <cell r="A315">
            <v>676</v>
          </cell>
        </row>
        <row r="316">
          <cell r="A316">
            <v>677</v>
          </cell>
        </row>
        <row r="317">
          <cell r="A317">
            <v>678</v>
          </cell>
        </row>
        <row r="318">
          <cell r="A318">
            <v>680</v>
          </cell>
        </row>
        <row r="319">
          <cell r="A319">
            <v>682</v>
          </cell>
        </row>
        <row r="320">
          <cell r="A320">
            <v>700</v>
          </cell>
        </row>
        <row r="321">
          <cell r="A321">
            <v>702</v>
          </cell>
        </row>
        <row r="322">
          <cell r="A322">
            <v>705</v>
          </cell>
        </row>
        <row r="323">
          <cell r="A323">
            <v>708</v>
          </cell>
        </row>
        <row r="324">
          <cell r="A324">
            <v>711</v>
          </cell>
        </row>
        <row r="325">
          <cell r="A325">
            <v>714</v>
          </cell>
        </row>
        <row r="326">
          <cell r="A326">
            <v>715</v>
          </cell>
        </row>
        <row r="327">
          <cell r="A327">
            <v>718</v>
          </cell>
        </row>
        <row r="328">
          <cell r="A328">
            <v>721</v>
          </cell>
        </row>
        <row r="329">
          <cell r="A329">
            <v>725</v>
          </cell>
        </row>
        <row r="330">
          <cell r="A330">
            <v>726</v>
          </cell>
        </row>
        <row r="331">
          <cell r="A331">
            <v>727</v>
          </cell>
        </row>
        <row r="332">
          <cell r="A332">
            <v>738</v>
          </cell>
        </row>
        <row r="333">
          <cell r="A333">
            <v>740</v>
          </cell>
        </row>
        <row r="334">
          <cell r="A334">
            <v>743</v>
          </cell>
        </row>
        <row r="335">
          <cell r="A335">
            <v>744</v>
          </cell>
        </row>
        <row r="336">
          <cell r="A336">
            <v>745</v>
          </cell>
        </row>
        <row r="337">
          <cell r="A337">
            <v>746</v>
          </cell>
        </row>
        <row r="338">
          <cell r="A338">
            <v>750</v>
          </cell>
        </row>
        <row r="339">
          <cell r="A339">
            <v>753</v>
          </cell>
        </row>
        <row r="340">
          <cell r="A340">
            <v>754</v>
          </cell>
        </row>
        <row r="341">
          <cell r="A341">
            <v>755</v>
          </cell>
        </row>
        <row r="342">
          <cell r="A342">
            <v>756</v>
          </cell>
        </row>
        <row r="343">
          <cell r="A343">
            <v>757</v>
          </cell>
        </row>
        <row r="344">
          <cell r="A344">
            <v>758</v>
          </cell>
        </row>
        <row r="345">
          <cell r="A345">
            <v>759</v>
          </cell>
        </row>
        <row r="346">
          <cell r="A346">
            <v>761</v>
          </cell>
        </row>
        <row r="347">
          <cell r="A347">
            <v>770</v>
          </cell>
        </row>
        <row r="348">
          <cell r="A348">
            <v>771</v>
          </cell>
        </row>
        <row r="349">
          <cell r="A349">
            <v>774</v>
          </cell>
        </row>
        <row r="350">
          <cell r="A350">
            <v>775</v>
          </cell>
        </row>
        <row r="351">
          <cell r="A351">
            <v>776</v>
          </cell>
        </row>
        <row r="352">
          <cell r="A352">
            <v>778</v>
          </cell>
        </row>
        <row r="353">
          <cell r="A353">
            <v>779</v>
          </cell>
        </row>
        <row r="354">
          <cell r="A354">
            <v>780</v>
          </cell>
        </row>
        <row r="355">
          <cell r="A355">
            <v>781</v>
          </cell>
        </row>
        <row r="356">
          <cell r="A356">
            <v>782</v>
          </cell>
        </row>
        <row r="357">
          <cell r="A357">
            <v>784</v>
          </cell>
        </row>
        <row r="358">
          <cell r="A358">
            <v>785</v>
          </cell>
        </row>
        <row r="359">
          <cell r="A359">
            <v>786</v>
          </cell>
        </row>
        <row r="360">
          <cell r="A360">
            <v>787</v>
          </cell>
        </row>
        <row r="361">
          <cell r="A361">
            <v>789</v>
          </cell>
        </row>
        <row r="362">
          <cell r="A362">
            <v>791</v>
          </cell>
        </row>
        <row r="363">
          <cell r="A363">
            <v>793</v>
          </cell>
        </row>
        <row r="364">
          <cell r="A364">
            <v>795</v>
          </cell>
        </row>
        <row r="365">
          <cell r="A365">
            <v>797</v>
          </cell>
        </row>
        <row r="366">
          <cell r="A366">
            <v>799</v>
          </cell>
        </row>
        <row r="367">
          <cell r="A367">
            <v>801</v>
          </cell>
        </row>
        <row r="368">
          <cell r="A368">
            <v>802</v>
          </cell>
        </row>
        <row r="369">
          <cell r="A369">
            <v>803</v>
          </cell>
        </row>
        <row r="370">
          <cell r="A370">
            <v>804</v>
          </cell>
        </row>
        <row r="371">
          <cell r="A371">
            <v>805</v>
          </cell>
        </row>
        <row r="372">
          <cell r="A372">
            <v>806</v>
          </cell>
        </row>
        <row r="373">
          <cell r="A373">
            <v>807</v>
          </cell>
        </row>
        <row r="374">
          <cell r="A374">
            <v>808</v>
          </cell>
        </row>
        <row r="375">
          <cell r="A375">
            <v>809</v>
          </cell>
        </row>
        <row r="376">
          <cell r="A376">
            <v>810</v>
          </cell>
        </row>
        <row r="377">
          <cell r="A377">
            <v>811</v>
          </cell>
        </row>
        <row r="378">
          <cell r="A378">
            <v>812</v>
          </cell>
        </row>
        <row r="379">
          <cell r="A379">
            <v>813</v>
          </cell>
        </row>
        <row r="380">
          <cell r="A380">
            <v>814</v>
          </cell>
        </row>
        <row r="381">
          <cell r="A381">
            <v>815</v>
          </cell>
        </row>
        <row r="382">
          <cell r="A382">
            <v>816</v>
          </cell>
        </row>
        <row r="383">
          <cell r="A383">
            <v>817</v>
          </cell>
        </row>
        <row r="384">
          <cell r="A384">
            <v>818</v>
          </cell>
        </row>
        <row r="385">
          <cell r="A385">
            <v>819</v>
          </cell>
        </row>
        <row r="386">
          <cell r="A386">
            <v>820</v>
          </cell>
        </row>
        <row r="387">
          <cell r="A387">
            <v>821</v>
          </cell>
        </row>
        <row r="388">
          <cell r="A388">
            <v>822</v>
          </cell>
        </row>
        <row r="389">
          <cell r="A389">
            <v>823</v>
          </cell>
        </row>
        <row r="390">
          <cell r="A390">
            <v>850</v>
          </cell>
        </row>
        <row r="391">
          <cell r="A391">
            <v>851</v>
          </cell>
        </row>
        <row r="392">
          <cell r="A392">
            <v>852</v>
          </cell>
        </row>
        <row r="393">
          <cell r="A393">
            <v>853</v>
          </cell>
        </row>
        <row r="394">
          <cell r="A394">
            <v>854</v>
          </cell>
        </row>
        <row r="395">
          <cell r="A395">
            <v>855</v>
          </cell>
        </row>
        <row r="396">
          <cell r="A396">
            <v>856</v>
          </cell>
        </row>
        <row r="397">
          <cell r="A397">
            <v>857</v>
          </cell>
        </row>
        <row r="398">
          <cell r="A398">
            <v>864</v>
          </cell>
        </row>
        <row r="399">
          <cell r="A399">
            <v>865</v>
          </cell>
        </row>
        <row r="400">
          <cell r="A400">
            <v>866</v>
          </cell>
        </row>
        <row r="401">
          <cell r="A401">
            <v>867</v>
          </cell>
        </row>
        <row r="402">
          <cell r="A402">
            <v>870</v>
          </cell>
        </row>
        <row r="403">
          <cell r="A403">
            <v>871</v>
          </cell>
        </row>
        <row r="404">
          <cell r="A404">
            <v>872</v>
          </cell>
        </row>
        <row r="405">
          <cell r="A405">
            <v>873</v>
          </cell>
        </row>
        <row r="406">
          <cell r="A406">
            <v>874</v>
          </cell>
        </row>
        <row r="407">
          <cell r="A407">
            <v>875</v>
          </cell>
        </row>
        <row r="408">
          <cell r="A408">
            <v>876</v>
          </cell>
        </row>
        <row r="409">
          <cell r="A409">
            <v>879</v>
          </cell>
        </row>
        <row r="410">
          <cell r="A410">
            <v>886</v>
          </cell>
        </row>
        <row r="411">
          <cell r="A411">
            <v>888</v>
          </cell>
        </row>
        <row r="412">
          <cell r="A412">
            <v>889</v>
          </cell>
        </row>
        <row r="413">
          <cell r="A413">
            <v>890</v>
          </cell>
        </row>
        <row r="414">
          <cell r="A414" t="str">
            <v>890 UNSW</v>
          </cell>
        </row>
        <row r="415">
          <cell r="A415">
            <v>891</v>
          </cell>
        </row>
        <row r="416">
          <cell r="A416" t="str">
            <v>891 UNSW</v>
          </cell>
        </row>
        <row r="417">
          <cell r="A417">
            <v>892</v>
          </cell>
        </row>
        <row r="418">
          <cell r="A418" t="str">
            <v>892 UNSW</v>
          </cell>
        </row>
        <row r="419">
          <cell r="A419">
            <v>893</v>
          </cell>
        </row>
        <row r="420">
          <cell r="A420">
            <v>894</v>
          </cell>
        </row>
        <row r="421">
          <cell r="A421">
            <v>895</v>
          </cell>
        </row>
        <row r="422">
          <cell r="A422" t="str">
            <v>895 UNSW</v>
          </cell>
        </row>
        <row r="423">
          <cell r="A423">
            <v>898</v>
          </cell>
        </row>
        <row r="424">
          <cell r="A424">
            <v>899</v>
          </cell>
        </row>
        <row r="425">
          <cell r="A425" t="str">
            <v>900 (M90)</v>
          </cell>
        </row>
        <row r="426">
          <cell r="A426">
            <v>901</v>
          </cell>
        </row>
        <row r="427">
          <cell r="A427">
            <v>902</v>
          </cell>
        </row>
        <row r="428">
          <cell r="A428" t="str">
            <v>902X</v>
          </cell>
        </row>
        <row r="429">
          <cell r="A429">
            <v>903</v>
          </cell>
        </row>
        <row r="430">
          <cell r="A430">
            <v>904</v>
          </cell>
        </row>
        <row r="431">
          <cell r="A431">
            <v>905</v>
          </cell>
        </row>
        <row r="432">
          <cell r="A432">
            <v>906</v>
          </cell>
        </row>
        <row r="433">
          <cell r="A433">
            <v>907</v>
          </cell>
        </row>
        <row r="434">
          <cell r="A434">
            <v>908</v>
          </cell>
        </row>
        <row r="435">
          <cell r="A435">
            <v>909</v>
          </cell>
        </row>
        <row r="436">
          <cell r="A436">
            <v>910</v>
          </cell>
        </row>
        <row r="437">
          <cell r="A437">
            <v>911</v>
          </cell>
        </row>
        <row r="438">
          <cell r="A438">
            <v>913</v>
          </cell>
        </row>
        <row r="439">
          <cell r="A439">
            <v>914</v>
          </cell>
        </row>
        <row r="440">
          <cell r="A440">
            <v>915</v>
          </cell>
        </row>
        <row r="441">
          <cell r="A441">
            <v>916</v>
          </cell>
        </row>
        <row r="442">
          <cell r="A442">
            <v>922</v>
          </cell>
        </row>
        <row r="443">
          <cell r="A443">
            <v>923</v>
          </cell>
        </row>
        <row r="444">
          <cell r="A444">
            <v>924</v>
          </cell>
        </row>
        <row r="445">
          <cell r="A445">
            <v>925</v>
          </cell>
        </row>
        <row r="446">
          <cell r="A446">
            <v>926</v>
          </cell>
        </row>
        <row r="447">
          <cell r="A447">
            <v>927</v>
          </cell>
        </row>
        <row r="448">
          <cell r="A448">
            <v>939</v>
          </cell>
        </row>
        <row r="449">
          <cell r="A449">
            <v>940</v>
          </cell>
        </row>
        <row r="450">
          <cell r="A450">
            <v>941</v>
          </cell>
        </row>
        <row r="451">
          <cell r="A451">
            <v>942</v>
          </cell>
        </row>
        <row r="452">
          <cell r="A452">
            <v>943</v>
          </cell>
        </row>
        <row r="453">
          <cell r="A453">
            <v>944</v>
          </cell>
        </row>
        <row r="454">
          <cell r="A454">
            <v>945</v>
          </cell>
        </row>
        <row r="455">
          <cell r="A455">
            <v>946</v>
          </cell>
        </row>
        <row r="456">
          <cell r="A456">
            <v>947</v>
          </cell>
        </row>
        <row r="457">
          <cell r="A457">
            <v>948</v>
          </cell>
        </row>
        <row r="458">
          <cell r="A458">
            <v>953</v>
          </cell>
        </row>
        <row r="459">
          <cell r="A459">
            <v>954</v>
          </cell>
        </row>
        <row r="460">
          <cell r="A460">
            <v>955</v>
          </cell>
        </row>
        <row r="461">
          <cell r="A461">
            <v>958</v>
          </cell>
        </row>
        <row r="462">
          <cell r="A462">
            <v>959</v>
          </cell>
        </row>
        <row r="463">
          <cell r="A463">
            <v>961</v>
          </cell>
        </row>
        <row r="464">
          <cell r="A464">
            <v>962</v>
          </cell>
        </row>
        <row r="465">
          <cell r="A465">
            <v>963</v>
          </cell>
        </row>
        <row r="466">
          <cell r="A466">
            <v>965</v>
          </cell>
        </row>
        <row r="467">
          <cell r="A467">
            <v>967</v>
          </cell>
        </row>
        <row r="468">
          <cell r="A468">
            <v>968</v>
          </cell>
        </row>
        <row r="469">
          <cell r="A469">
            <v>969</v>
          </cell>
        </row>
        <row r="470">
          <cell r="A470">
            <v>970</v>
          </cell>
        </row>
        <row r="471">
          <cell r="A471">
            <v>971</v>
          </cell>
        </row>
        <row r="472">
          <cell r="A472">
            <v>972</v>
          </cell>
        </row>
        <row r="473">
          <cell r="A473">
            <v>973</v>
          </cell>
        </row>
        <row r="474">
          <cell r="A474">
            <v>974</v>
          </cell>
        </row>
        <row r="475">
          <cell r="A475">
            <v>975</v>
          </cell>
        </row>
        <row r="476">
          <cell r="A476">
            <v>976</v>
          </cell>
        </row>
        <row r="477">
          <cell r="A477">
            <v>986</v>
          </cell>
        </row>
        <row r="478">
          <cell r="A478">
            <v>987</v>
          </cell>
        </row>
        <row r="479">
          <cell r="A479">
            <v>988</v>
          </cell>
        </row>
        <row r="480">
          <cell r="A480">
            <v>989</v>
          </cell>
        </row>
        <row r="481">
          <cell r="A481">
            <v>991</v>
          </cell>
        </row>
        <row r="482">
          <cell r="A482">
            <v>992</v>
          </cell>
        </row>
        <row r="483">
          <cell r="A483">
            <v>993</v>
          </cell>
        </row>
        <row r="484">
          <cell r="A484">
            <v>996</v>
          </cell>
        </row>
        <row r="485">
          <cell r="A485">
            <v>998</v>
          </cell>
        </row>
        <row r="486">
          <cell r="A486">
            <v>999</v>
          </cell>
        </row>
        <row r="487">
          <cell r="A487" t="str">
            <v>E50</v>
          </cell>
        </row>
        <row r="488">
          <cell r="A488" t="str">
            <v>E65</v>
          </cell>
        </row>
        <row r="489">
          <cell r="A489" t="str">
            <v>E66</v>
          </cell>
        </row>
        <row r="490">
          <cell r="A490" t="str">
            <v>E68</v>
          </cell>
        </row>
        <row r="491">
          <cell r="A491" t="str">
            <v>E69</v>
          </cell>
        </row>
        <row r="492">
          <cell r="A492" t="str">
            <v>E70</v>
          </cell>
        </row>
        <row r="493">
          <cell r="A493" t="str">
            <v>E71</v>
          </cell>
        </row>
        <row r="494">
          <cell r="A494" t="str">
            <v>E76</v>
          </cell>
        </row>
        <row r="495">
          <cell r="A495" t="str">
            <v>E77</v>
          </cell>
        </row>
        <row r="496">
          <cell r="A496" t="str">
            <v>E78</v>
          </cell>
        </row>
        <row r="497">
          <cell r="A497" t="str">
            <v>E79</v>
          </cell>
        </row>
        <row r="498">
          <cell r="A498" t="str">
            <v>E83</v>
          </cell>
        </row>
        <row r="499">
          <cell r="A499" t="str">
            <v>E84</v>
          </cell>
        </row>
        <row r="500">
          <cell r="A500" t="str">
            <v>E86</v>
          </cell>
        </row>
        <row r="501">
          <cell r="A501" t="str">
            <v>E87</v>
          </cell>
        </row>
        <row r="502">
          <cell r="A502" t="str">
            <v>E88</v>
          </cell>
        </row>
        <row r="503">
          <cell r="A503" t="str">
            <v>E89</v>
          </cell>
        </row>
        <row r="504">
          <cell r="A504" t="str">
            <v>L09</v>
          </cell>
        </row>
        <row r="505">
          <cell r="A505" t="str">
            <v>L20</v>
          </cell>
        </row>
        <row r="506">
          <cell r="A506" t="str">
            <v>L23</v>
          </cell>
        </row>
        <row r="507">
          <cell r="A507" t="str">
            <v>L24</v>
          </cell>
        </row>
        <row r="508">
          <cell r="A508" t="str">
            <v>L28</v>
          </cell>
        </row>
        <row r="509">
          <cell r="A509" t="str">
            <v>L37</v>
          </cell>
        </row>
        <row r="510">
          <cell r="A510" t="str">
            <v>L38</v>
          </cell>
        </row>
        <row r="511">
          <cell r="A511" t="str">
            <v>L39</v>
          </cell>
        </row>
        <row r="512">
          <cell r="A512" t="str">
            <v>L60</v>
          </cell>
        </row>
        <row r="513">
          <cell r="A513" t="str">
            <v>L78</v>
          </cell>
        </row>
        <row r="514">
          <cell r="A514" t="str">
            <v>L80</v>
          </cell>
        </row>
        <row r="515">
          <cell r="A515" t="str">
            <v>L84</v>
          </cell>
        </row>
        <row r="516">
          <cell r="A516" t="str">
            <v>L85</v>
          </cell>
        </row>
        <row r="517">
          <cell r="A517" t="str">
            <v>L87</v>
          </cell>
        </row>
        <row r="518">
          <cell r="A518" t="str">
            <v>L88</v>
          </cell>
        </row>
        <row r="519">
          <cell r="A519" t="str">
            <v>L90</v>
          </cell>
        </row>
        <row r="520">
          <cell r="A520" t="str">
            <v>L94</v>
          </cell>
        </row>
        <row r="521">
          <cell r="A521" t="str">
            <v>M10</v>
          </cell>
        </row>
        <row r="522">
          <cell r="A522" t="str">
            <v>M20</v>
          </cell>
        </row>
        <row r="523">
          <cell r="A523" t="str">
            <v>M30</v>
          </cell>
        </row>
        <row r="524">
          <cell r="A524" t="str">
            <v>M40</v>
          </cell>
        </row>
        <row r="525">
          <cell r="A525" t="str">
            <v>M41</v>
          </cell>
        </row>
        <row r="526">
          <cell r="A526" t="str">
            <v>M50</v>
          </cell>
        </row>
        <row r="527">
          <cell r="A527" t="str">
            <v>M52</v>
          </cell>
        </row>
        <row r="528">
          <cell r="A528" t="str">
            <v>M54</v>
          </cell>
        </row>
        <row r="529">
          <cell r="A529" t="str">
            <v>M60</v>
          </cell>
        </row>
        <row r="530">
          <cell r="A530" t="str">
            <v>M61</v>
          </cell>
        </row>
        <row r="531">
          <cell r="A531">
            <v>900</v>
          </cell>
        </row>
        <row r="532">
          <cell r="A532" t="str">
            <v>M91</v>
          </cell>
        </row>
        <row r="533">
          <cell r="A533" t="str">
            <v>M92</v>
          </cell>
        </row>
        <row r="534">
          <cell r="A534" t="str">
            <v>S1</v>
          </cell>
        </row>
        <row r="535">
          <cell r="A535" t="str">
            <v>S10</v>
          </cell>
        </row>
        <row r="536">
          <cell r="A536" t="str">
            <v>S11</v>
          </cell>
        </row>
        <row r="537">
          <cell r="A537" t="str">
            <v>S12</v>
          </cell>
        </row>
        <row r="538">
          <cell r="A538" t="str">
            <v>S13</v>
          </cell>
        </row>
        <row r="539">
          <cell r="A539" t="str">
            <v>S14</v>
          </cell>
        </row>
        <row r="540">
          <cell r="A540" t="str">
            <v>S2</v>
          </cell>
        </row>
        <row r="541">
          <cell r="A541" t="str">
            <v>S3</v>
          </cell>
        </row>
        <row r="542">
          <cell r="A542" t="str">
            <v>S4</v>
          </cell>
        </row>
        <row r="543">
          <cell r="A543" t="str">
            <v>S5</v>
          </cell>
        </row>
        <row r="544">
          <cell r="A544" t="str">
            <v>S8</v>
          </cell>
        </row>
        <row r="545">
          <cell r="A545" t="str">
            <v>S9</v>
          </cell>
        </row>
        <row r="546">
          <cell r="A546" t="str">
            <v>T60</v>
          </cell>
        </row>
        <row r="547">
          <cell r="A547" t="str">
            <v>T61</v>
          </cell>
        </row>
        <row r="548">
          <cell r="A548" t="str">
            <v>T62</v>
          </cell>
        </row>
        <row r="549">
          <cell r="A549" t="str">
            <v>T63</v>
          </cell>
        </row>
        <row r="550">
          <cell r="A550" t="str">
            <v>T64</v>
          </cell>
        </row>
        <row r="551">
          <cell r="A551" t="str">
            <v>T65</v>
          </cell>
        </row>
        <row r="552">
          <cell r="A552" t="str">
            <v>T66</v>
          </cell>
        </row>
        <row r="553">
          <cell r="A553" t="str">
            <v>T70</v>
          </cell>
        </row>
        <row r="554">
          <cell r="A554" t="str">
            <v>T71</v>
          </cell>
        </row>
        <row r="555">
          <cell r="A555" t="str">
            <v>T74</v>
          </cell>
        </row>
        <row r="556">
          <cell r="A556" t="str">
            <v>T75</v>
          </cell>
        </row>
        <row r="557">
          <cell r="A557" t="str">
            <v>X00</v>
          </cell>
        </row>
        <row r="558">
          <cell r="A558" t="str">
            <v>X03</v>
          </cell>
        </row>
        <row r="559">
          <cell r="A559" t="str">
            <v>X04</v>
          </cell>
        </row>
        <row r="560">
          <cell r="A560" t="str">
            <v>X06</v>
          </cell>
        </row>
        <row r="561">
          <cell r="A561" t="str">
            <v>X09</v>
          </cell>
        </row>
        <row r="562">
          <cell r="A562" t="str">
            <v>X10</v>
          </cell>
        </row>
        <row r="563">
          <cell r="A563" t="str">
            <v>X15</v>
          </cell>
        </row>
        <row r="564">
          <cell r="A564" t="str">
            <v>X18</v>
          </cell>
        </row>
        <row r="565">
          <cell r="A565" t="str">
            <v>X39</v>
          </cell>
        </row>
        <row r="566">
          <cell r="A566" t="str">
            <v>X73</v>
          </cell>
        </row>
        <row r="567">
          <cell r="A567" t="str">
            <v>X74</v>
          </cell>
        </row>
        <row r="568">
          <cell r="A568" t="str">
            <v>X77</v>
          </cell>
        </row>
        <row r="569">
          <cell r="A569" t="str">
            <v>X84</v>
          </cell>
        </row>
        <row r="570">
          <cell r="A570" t="str">
            <v>X89</v>
          </cell>
        </row>
        <row r="571">
          <cell r="A571" t="str">
            <v>X92</v>
          </cell>
        </row>
        <row r="572">
          <cell r="A572" t="str">
            <v>X94</v>
          </cell>
        </row>
        <row r="573">
          <cell r="A573" t="str">
            <v>X96</v>
          </cell>
        </row>
        <row r="574">
          <cell r="A574" t="str">
            <v>X97</v>
          </cell>
        </row>
        <row r="575">
          <cell r="A575" t="str">
            <v>X99</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atap.gov.au/parameter-values/road-transport/files/pv2_road_parameter_valu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L45"/>
  <sheetViews>
    <sheetView showGridLines="0" tabSelected="1" topLeftCell="A19" workbookViewId="0">
      <selection activeCell="D39" sqref="D39"/>
    </sheetView>
  </sheetViews>
  <sheetFormatPr defaultColWidth="0" defaultRowHeight="14.4" zeroHeight="1"/>
  <cols>
    <col min="1" max="1" width="8.88671875" customWidth="1"/>
    <col min="2" max="3" width="4.77734375" customWidth="1"/>
    <col min="4" max="4" width="25.77734375" customWidth="1"/>
    <col min="5" max="12" width="8.88671875" customWidth="1"/>
    <col min="13" max="16384" width="8.88671875" hidden="1"/>
  </cols>
  <sheetData>
    <row r="1" spans="1:11">
      <c r="A1" s="89"/>
      <c r="B1" s="88"/>
    </row>
    <row r="2" spans="1:11">
      <c r="A2" s="89"/>
      <c r="B2" s="88"/>
    </row>
    <row r="3" spans="1:11">
      <c r="A3" s="89"/>
      <c r="B3" s="88"/>
    </row>
    <row r="4" spans="1:11">
      <c r="A4" s="89"/>
      <c r="B4" s="88"/>
    </row>
    <row r="5" spans="1:11">
      <c r="A5" s="89"/>
      <c r="B5" s="88"/>
    </row>
    <row r="6" spans="1:11">
      <c r="A6" s="89"/>
      <c r="B6" s="88"/>
    </row>
    <row r="7" spans="1:11">
      <c r="A7" s="89"/>
      <c r="B7" s="88"/>
    </row>
    <row r="8" spans="1:11">
      <c r="A8" s="89"/>
      <c r="B8" s="88"/>
    </row>
    <row r="9" spans="1:11">
      <c r="A9" s="89"/>
      <c r="B9" s="88"/>
    </row>
    <row r="10" spans="1:11">
      <c r="A10" s="89"/>
      <c r="B10" s="88"/>
    </row>
    <row r="11" spans="1:11" ht="136.19999999999999" customHeight="1">
      <c r="A11" s="89"/>
      <c r="B11" s="88"/>
      <c r="D11" s="167" t="s">
        <v>168</v>
      </c>
      <c r="E11" s="167"/>
      <c r="F11" s="167"/>
      <c r="G11" s="167"/>
      <c r="H11" s="167"/>
      <c r="I11" s="167"/>
      <c r="J11" s="167"/>
      <c r="K11" s="167"/>
    </row>
    <row r="12" spans="1:11">
      <c r="A12" s="89"/>
      <c r="B12" s="88"/>
    </row>
    <row r="13" spans="1:11">
      <c r="A13" s="89"/>
      <c r="B13" s="88"/>
    </row>
    <row r="14" spans="1:11">
      <c r="A14" s="89"/>
      <c r="B14" s="88"/>
    </row>
    <row r="15" spans="1:11">
      <c r="A15" s="89"/>
      <c r="B15" s="88"/>
    </row>
    <row r="16" spans="1:11">
      <c r="A16" s="89"/>
      <c r="B16" s="88"/>
    </row>
    <row r="17" spans="1:11">
      <c r="A17" s="89"/>
      <c r="B17" s="88"/>
    </row>
    <row r="18" spans="1:11">
      <c r="A18" s="89"/>
      <c r="B18" s="88"/>
    </row>
    <row r="19" spans="1:11">
      <c r="A19" s="89"/>
      <c r="B19" s="88"/>
    </row>
    <row r="20" spans="1:11">
      <c r="A20" s="89"/>
      <c r="B20" s="88"/>
    </row>
    <row r="21" spans="1:11">
      <c r="A21" s="89"/>
      <c r="B21" s="88"/>
    </row>
    <row r="22" spans="1:11">
      <c r="A22" s="89"/>
      <c r="B22" s="88"/>
    </row>
    <row r="23" spans="1:11">
      <c r="A23" s="89"/>
      <c r="B23" s="88"/>
    </row>
    <row r="24" spans="1:11">
      <c r="A24" s="89"/>
      <c r="B24" s="88"/>
    </row>
    <row r="25" spans="1:11">
      <c r="A25" s="89"/>
      <c r="B25" s="88"/>
    </row>
    <row r="26" spans="1:11">
      <c r="A26" s="89"/>
      <c r="B26" s="88"/>
    </row>
    <row r="27" spans="1:11">
      <c r="A27" s="89"/>
      <c r="B27" s="88"/>
    </row>
    <row r="28" spans="1:11">
      <c r="A28" s="89"/>
      <c r="B28" s="88"/>
    </row>
    <row r="29" spans="1:11">
      <c r="A29" s="89"/>
      <c r="B29" s="88"/>
    </row>
    <row r="30" spans="1:11">
      <c r="A30" s="89"/>
      <c r="B30" s="88"/>
    </row>
    <row r="31" spans="1:11" ht="15">
      <c r="A31" s="89"/>
      <c r="B31" s="88"/>
      <c r="D31" s="168" t="s">
        <v>194</v>
      </c>
      <c r="E31" s="168"/>
      <c r="F31" s="168"/>
      <c r="G31" s="168"/>
      <c r="H31" s="168"/>
      <c r="I31" s="168"/>
      <c r="J31" s="168"/>
      <c r="K31" s="168"/>
    </row>
    <row r="32" spans="1:11" ht="15">
      <c r="A32" s="89"/>
      <c r="B32" s="88"/>
      <c r="D32" s="168" t="s">
        <v>195</v>
      </c>
      <c r="E32" s="168"/>
      <c r="F32" s="168"/>
      <c r="G32" s="168"/>
      <c r="H32" s="168"/>
      <c r="I32" s="168"/>
      <c r="J32" s="168"/>
      <c r="K32" s="168"/>
    </row>
    <row r="33" spans="1:11" ht="15">
      <c r="A33" s="89"/>
      <c r="B33" s="88"/>
      <c r="D33" s="168" t="s">
        <v>59</v>
      </c>
      <c r="E33" s="168"/>
      <c r="F33" s="168"/>
      <c r="G33" s="168"/>
      <c r="H33" s="168"/>
      <c r="I33" s="168"/>
      <c r="J33" s="168"/>
      <c r="K33" s="168"/>
    </row>
    <row r="34" spans="1:11" ht="15.6">
      <c r="A34" s="89"/>
      <c r="B34" s="88"/>
      <c r="D34" s="169"/>
      <c r="E34" s="169"/>
      <c r="F34" s="169"/>
      <c r="G34" s="169"/>
      <c r="H34" s="169"/>
      <c r="I34" s="169"/>
      <c r="J34" s="169"/>
      <c r="K34" s="169"/>
    </row>
    <row r="35" spans="1:11">
      <c r="A35" s="89"/>
      <c r="B35" s="88"/>
      <c r="D35" s="166" t="s">
        <v>108</v>
      </c>
      <c r="E35" s="166"/>
      <c r="F35" s="166"/>
      <c r="G35" s="166"/>
      <c r="H35" s="166"/>
      <c r="I35" s="166"/>
      <c r="J35" s="166"/>
      <c r="K35" s="166"/>
    </row>
    <row r="36" spans="1:11">
      <c r="A36" s="89"/>
      <c r="B36" s="88"/>
      <c r="D36" s="166" t="s">
        <v>62</v>
      </c>
      <c r="E36" s="166"/>
      <c r="F36" s="166"/>
      <c r="G36" s="166"/>
      <c r="H36" s="166"/>
      <c r="I36" s="166"/>
      <c r="J36" s="166"/>
      <c r="K36" s="166"/>
    </row>
    <row r="37" spans="1:11">
      <c r="A37" s="89"/>
      <c r="B37" s="88"/>
    </row>
    <row r="38" spans="1:11">
      <c r="A38" s="89"/>
      <c r="B38" s="88"/>
      <c r="D38" s="91" t="s">
        <v>196</v>
      </c>
    </row>
    <row r="39" spans="1:11">
      <c r="A39" s="89"/>
      <c r="B39" s="88"/>
      <c r="D39" s="90" t="s">
        <v>173</v>
      </c>
    </row>
    <row r="40" spans="1:11">
      <c r="A40" s="89"/>
      <c r="B40" s="88"/>
      <c r="D40" s="92" t="s">
        <v>192</v>
      </c>
    </row>
    <row r="41" spans="1:11">
      <c r="A41" s="89"/>
      <c r="B41" s="88"/>
      <c r="D41" s="92" t="s">
        <v>193</v>
      </c>
    </row>
    <row r="42" spans="1:11">
      <c r="A42" s="89"/>
      <c r="B42" s="88"/>
      <c r="D42" s="90" t="s">
        <v>174</v>
      </c>
    </row>
    <row r="43" spans="1:11">
      <c r="A43" s="89"/>
      <c r="B43" s="88"/>
      <c r="D43" s="92" t="s">
        <v>187</v>
      </c>
    </row>
    <row r="44" spans="1:11">
      <c r="A44" s="89"/>
      <c r="B44" s="88"/>
    </row>
    <row r="45" spans="1:11">
      <c r="A45" s="89"/>
      <c r="B45" s="88"/>
    </row>
  </sheetData>
  <mergeCells count="7">
    <mergeCell ref="D36:K36"/>
    <mergeCell ref="D11:K11"/>
    <mergeCell ref="D31:K31"/>
    <mergeCell ref="D32:K32"/>
    <mergeCell ref="D33:K33"/>
    <mergeCell ref="D34:K34"/>
    <mergeCell ref="D35:K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77"/>
  <sheetViews>
    <sheetView showGridLines="0" topLeftCell="A43" workbookViewId="0">
      <selection activeCell="H15" sqref="H15"/>
    </sheetView>
  </sheetViews>
  <sheetFormatPr defaultColWidth="0" defaultRowHeight="14.4" customHeight="1" zeroHeight="1"/>
  <cols>
    <col min="1" max="1" width="8.88671875" customWidth="1"/>
    <col min="2" max="3" width="4.77734375" customWidth="1"/>
    <col min="4" max="4" width="69.109375" customWidth="1"/>
    <col min="5" max="12" width="8.88671875" customWidth="1"/>
    <col min="13" max="16384" width="8.88671875" hidden="1"/>
  </cols>
  <sheetData>
    <row r="1" spans="1:11">
      <c r="A1" s="89"/>
      <c r="B1" s="88"/>
      <c r="D1" s="7"/>
      <c r="E1" s="7"/>
      <c r="F1" s="6"/>
    </row>
    <row r="2" spans="1:11" ht="45">
      <c r="A2" s="89"/>
      <c r="B2" s="88"/>
      <c r="D2" s="171" t="s">
        <v>98</v>
      </c>
      <c r="E2" s="171"/>
      <c r="F2" s="8"/>
      <c r="G2" s="157"/>
      <c r="H2" s="157"/>
      <c r="I2" s="157"/>
      <c r="J2" s="157"/>
      <c r="K2" s="157"/>
    </row>
    <row r="3" spans="1:11" ht="15.6">
      <c r="A3" s="89"/>
      <c r="B3" s="88"/>
      <c r="D3" s="101"/>
      <c r="E3" s="95"/>
      <c r="F3" s="6"/>
    </row>
    <row r="4" spans="1:11" ht="15.6">
      <c r="A4" s="89"/>
      <c r="B4" s="88"/>
      <c r="D4" s="101" t="s">
        <v>99</v>
      </c>
      <c r="E4" s="95"/>
      <c r="F4" s="6"/>
    </row>
    <row r="5" spans="1:11">
      <c r="A5" s="89"/>
      <c r="B5" s="88"/>
      <c r="D5" s="170" t="s">
        <v>115</v>
      </c>
      <c r="E5" s="170"/>
      <c r="F5" s="170"/>
    </row>
    <row r="6" spans="1:11">
      <c r="A6" s="89"/>
      <c r="B6" s="88"/>
      <c r="D6" s="170" t="s">
        <v>109</v>
      </c>
      <c r="E6" s="170"/>
      <c r="F6" s="170"/>
    </row>
    <row r="7" spans="1:11">
      <c r="A7" s="89"/>
      <c r="B7" s="88"/>
      <c r="D7" s="170" t="s">
        <v>112</v>
      </c>
      <c r="E7" s="170"/>
      <c r="F7" s="170"/>
    </row>
    <row r="8" spans="1:11">
      <c r="A8" s="89"/>
      <c r="B8" s="88"/>
      <c r="D8" s="172" t="s">
        <v>176</v>
      </c>
      <c r="E8" s="172"/>
      <c r="F8" s="172"/>
    </row>
    <row r="9" spans="1:11">
      <c r="A9" s="89"/>
      <c r="B9" s="88"/>
      <c r="D9" s="97"/>
      <c r="E9" s="97"/>
      <c r="F9" s="97"/>
    </row>
    <row r="10" spans="1:11">
      <c r="A10" s="89"/>
      <c r="B10" s="88"/>
      <c r="D10" s="102" t="s">
        <v>177</v>
      </c>
      <c r="E10" s="95"/>
      <c r="F10" s="95"/>
    </row>
    <row r="11" spans="1:11">
      <c r="A11" s="89"/>
      <c r="B11" s="88"/>
      <c r="D11" s="103" t="s">
        <v>178</v>
      </c>
      <c r="E11" s="95"/>
      <c r="F11" s="95"/>
    </row>
    <row r="12" spans="1:11">
      <c r="A12" s="89"/>
      <c r="B12" s="88"/>
      <c r="D12" s="95"/>
      <c r="E12" s="95"/>
      <c r="F12" s="95"/>
    </row>
    <row r="13" spans="1:11" ht="15.6">
      <c r="A13" s="89"/>
      <c r="B13" s="88"/>
      <c r="D13" s="101" t="s">
        <v>166</v>
      </c>
      <c r="E13" s="95"/>
      <c r="F13" s="8"/>
    </row>
    <row r="14" spans="1:11">
      <c r="A14" s="89"/>
      <c r="B14" s="88"/>
      <c r="D14" s="170" t="s">
        <v>114</v>
      </c>
      <c r="E14" s="170"/>
      <c r="F14" s="170"/>
    </row>
    <row r="15" spans="1:11">
      <c r="A15" s="89"/>
      <c r="B15" s="88"/>
      <c r="D15" s="97" t="s">
        <v>175</v>
      </c>
      <c r="E15" s="98"/>
      <c r="F15" s="8"/>
    </row>
    <row r="16" spans="1:11">
      <c r="A16" s="89"/>
      <c r="B16" s="88"/>
      <c r="D16" s="99" t="s">
        <v>70</v>
      </c>
      <c r="E16" s="95"/>
      <c r="F16" s="8"/>
    </row>
    <row r="17" spans="1:6">
      <c r="A17" s="89"/>
      <c r="B17" s="88"/>
      <c r="D17" s="99"/>
      <c r="E17" s="95"/>
      <c r="F17" s="8"/>
    </row>
    <row r="18" spans="1:6">
      <c r="A18" s="89"/>
      <c r="B18" s="88"/>
      <c r="D18" s="170" t="s">
        <v>116</v>
      </c>
      <c r="E18" s="170"/>
      <c r="F18" s="170"/>
    </row>
    <row r="19" spans="1:6">
      <c r="A19" s="89"/>
      <c r="B19" s="88"/>
      <c r="D19" s="160"/>
      <c r="E19" s="160"/>
      <c r="F19" s="160"/>
    </row>
    <row r="20" spans="1:6" ht="15.6">
      <c r="A20" s="89"/>
      <c r="B20" s="88"/>
      <c r="D20" s="101" t="s">
        <v>100</v>
      </c>
      <c r="E20" s="95"/>
      <c r="F20" s="8"/>
    </row>
    <row r="21" spans="1:6">
      <c r="A21" s="89"/>
      <c r="B21" s="88"/>
      <c r="D21" s="100"/>
      <c r="E21" s="95"/>
      <c r="F21" s="8"/>
    </row>
    <row r="22" spans="1:6">
      <c r="A22" s="89"/>
      <c r="B22" s="88"/>
      <c r="D22" s="100"/>
      <c r="E22" s="95"/>
      <c r="F22" s="8"/>
    </row>
    <row r="23" spans="1:6">
      <c r="A23" s="89"/>
      <c r="B23" s="88"/>
      <c r="D23" s="100"/>
      <c r="E23" s="95"/>
      <c r="F23" s="8"/>
    </row>
    <row r="24" spans="1:6">
      <c r="A24" s="89"/>
      <c r="B24" s="88"/>
      <c r="D24" s="100"/>
      <c r="E24" s="95"/>
      <c r="F24" s="8"/>
    </row>
    <row r="25" spans="1:6">
      <c r="A25" s="89"/>
      <c r="B25" s="88"/>
      <c r="D25" s="100"/>
      <c r="E25" s="95"/>
      <c r="F25" s="8"/>
    </row>
    <row r="26" spans="1:6">
      <c r="A26" s="89"/>
      <c r="B26" s="88"/>
      <c r="D26" s="100"/>
      <c r="E26" s="95"/>
      <c r="F26" s="8"/>
    </row>
    <row r="27" spans="1:6">
      <c r="A27" s="89"/>
      <c r="B27" s="88"/>
      <c r="D27" s="100"/>
      <c r="E27" s="95"/>
      <c r="F27" s="8"/>
    </row>
    <row r="28" spans="1:6">
      <c r="A28" s="89"/>
      <c r="B28" s="88"/>
      <c r="D28" s="100"/>
      <c r="E28" s="95"/>
      <c r="F28" s="8"/>
    </row>
    <row r="29" spans="1:6">
      <c r="A29" s="89"/>
      <c r="B29" s="88"/>
      <c r="D29" s="100"/>
      <c r="E29" s="95"/>
      <c r="F29" s="8"/>
    </row>
    <row r="30" spans="1:6">
      <c r="A30" s="89"/>
      <c r="B30" s="88"/>
      <c r="D30" s="100"/>
      <c r="E30" s="95"/>
      <c r="F30" s="8"/>
    </row>
    <row r="31" spans="1:6" ht="15.6">
      <c r="A31" s="89"/>
      <c r="B31" s="88"/>
      <c r="D31" s="101" t="s">
        <v>101</v>
      </c>
      <c r="E31" s="95"/>
      <c r="F31" s="8"/>
    </row>
    <row r="32" spans="1:6">
      <c r="A32" s="89"/>
      <c r="B32" s="88"/>
      <c r="D32" s="100"/>
      <c r="E32" s="95"/>
      <c r="F32" s="8"/>
    </row>
    <row r="33" spans="1:6">
      <c r="A33" s="89"/>
      <c r="B33" s="88"/>
      <c r="D33" s="100"/>
      <c r="E33" s="95"/>
      <c r="F33" s="8"/>
    </row>
    <row r="34" spans="1:6">
      <c r="A34" s="89"/>
      <c r="B34" s="88"/>
      <c r="D34" s="100"/>
      <c r="E34" s="95"/>
      <c r="F34" s="8"/>
    </row>
    <row r="35" spans="1:6">
      <c r="A35" s="89"/>
      <c r="B35" s="88"/>
      <c r="D35" s="100"/>
      <c r="E35" s="95"/>
      <c r="F35" s="8"/>
    </row>
    <row r="36" spans="1:6">
      <c r="A36" s="89"/>
      <c r="B36" s="88"/>
      <c r="D36" s="100"/>
      <c r="E36" s="95"/>
      <c r="F36" s="8"/>
    </row>
    <row r="37" spans="1:6">
      <c r="A37" s="89"/>
      <c r="B37" s="88"/>
      <c r="D37" s="100"/>
      <c r="E37" s="95"/>
      <c r="F37" s="8"/>
    </row>
    <row r="38" spans="1:6">
      <c r="A38" s="89"/>
      <c r="B38" s="88"/>
      <c r="D38" s="100"/>
      <c r="E38" s="95"/>
      <c r="F38" s="8"/>
    </row>
    <row r="39" spans="1:6">
      <c r="A39" s="89"/>
      <c r="B39" s="88"/>
      <c r="D39" s="100"/>
      <c r="E39" s="95"/>
      <c r="F39" s="8"/>
    </row>
    <row r="40" spans="1:6">
      <c r="A40" s="89"/>
      <c r="B40" s="88"/>
      <c r="D40" s="100"/>
      <c r="E40" s="95"/>
      <c r="F40" s="8"/>
    </row>
    <row r="41" spans="1:6">
      <c r="A41" s="89"/>
      <c r="B41" s="88"/>
      <c r="D41" s="100"/>
      <c r="E41" s="95"/>
      <c r="F41" s="8"/>
    </row>
    <row r="42" spans="1:6" ht="15.6">
      <c r="A42" s="89"/>
      <c r="B42" s="88"/>
      <c r="D42" s="101" t="s">
        <v>102</v>
      </c>
      <c r="E42" s="95"/>
      <c r="F42" s="8"/>
    </row>
    <row r="43" spans="1:6" ht="27.6">
      <c r="A43" s="89"/>
      <c r="B43" s="88"/>
      <c r="D43" s="96" t="s">
        <v>113</v>
      </c>
      <c r="E43" s="95"/>
      <c r="F43" s="8"/>
    </row>
    <row r="44" spans="1:6">
      <c r="A44" s="89"/>
      <c r="B44" s="88"/>
      <c r="D44" s="98"/>
      <c r="E44" s="95"/>
      <c r="F44" s="8"/>
    </row>
    <row r="45" spans="1:6">
      <c r="A45" s="89"/>
      <c r="B45" s="88"/>
      <c r="D45" s="107" t="s">
        <v>81</v>
      </c>
      <c r="E45" s="95"/>
      <c r="F45" s="8"/>
    </row>
    <row r="46" spans="1:6">
      <c r="A46" s="89"/>
      <c r="B46" s="88"/>
      <c r="D46" s="98"/>
      <c r="E46" s="95"/>
      <c r="F46" s="8"/>
    </row>
    <row r="47" spans="1:6">
      <c r="A47" s="89"/>
      <c r="B47" s="88"/>
      <c r="D47" s="98"/>
      <c r="E47" s="95"/>
      <c r="F47" s="8"/>
    </row>
    <row r="48" spans="1:6">
      <c r="A48" s="89"/>
      <c r="B48" s="88"/>
      <c r="D48" s="98"/>
      <c r="E48" s="95"/>
      <c r="F48" s="8"/>
    </row>
    <row r="49" spans="1:11">
      <c r="A49" s="89"/>
      <c r="B49" s="88"/>
      <c r="D49" s="98"/>
      <c r="E49" s="95"/>
      <c r="F49" s="8"/>
    </row>
    <row r="50" spans="1:11">
      <c r="A50" s="89"/>
      <c r="B50" s="88"/>
      <c r="D50" s="98"/>
      <c r="E50" s="95"/>
      <c r="F50" s="8"/>
    </row>
    <row r="51" spans="1:11" ht="15">
      <c r="A51" s="89"/>
      <c r="B51" s="88"/>
      <c r="D51" s="98"/>
      <c r="E51" s="95"/>
      <c r="F51" s="8"/>
      <c r="G51" s="158"/>
      <c r="H51" s="158"/>
      <c r="I51" s="158"/>
      <c r="J51" s="158"/>
      <c r="K51" s="158"/>
    </row>
    <row r="52" spans="1:11" ht="15">
      <c r="A52" s="89"/>
      <c r="B52" s="88"/>
      <c r="D52" s="98"/>
      <c r="E52" s="95"/>
      <c r="F52" s="8"/>
      <c r="G52" s="158"/>
      <c r="H52" s="158"/>
      <c r="I52" s="158"/>
      <c r="J52" s="158"/>
      <c r="K52" s="158"/>
    </row>
    <row r="53" spans="1:11" ht="15">
      <c r="A53" s="89"/>
      <c r="B53" s="88"/>
      <c r="D53" s="98"/>
      <c r="E53" s="95"/>
      <c r="F53" s="8"/>
      <c r="G53" s="158"/>
      <c r="H53" s="158"/>
      <c r="I53" s="158"/>
      <c r="J53" s="158"/>
      <c r="K53" s="158"/>
    </row>
    <row r="54" spans="1:11" ht="15.6">
      <c r="A54" s="89"/>
      <c r="B54" s="88"/>
      <c r="D54" s="98"/>
      <c r="E54" s="95"/>
      <c r="F54" s="8"/>
      <c r="G54" s="159"/>
      <c r="H54" s="159"/>
      <c r="I54" s="159"/>
      <c r="J54" s="159"/>
      <c r="K54" s="159"/>
    </row>
    <row r="55" spans="1:11">
      <c r="A55" s="89"/>
      <c r="B55" s="88"/>
      <c r="D55" s="98"/>
      <c r="E55" s="95"/>
      <c r="F55" s="8"/>
      <c r="G55" s="156"/>
      <c r="H55" s="156"/>
      <c r="I55" s="156"/>
      <c r="J55" s="156"/>
      <c r="K55" s="156"/>
    </row>
    <row r="56" spans="1:11">
      <c r="A56" s="89"/>
      <c r="B56" s="88"/>
      <c r="D56" s="98"/>
      <c r="E56" s="95"/>
      <c r="F56" s="8"/>
      <c r="G56" s="156"/>
      <c r="H56" s="156"/>
      <c r="I56" s="156"/>
      <c r="J56" s="156"/>
      <c r="K56" s="156"/>
    </row>
    <row r="57" spans="1:11">
      <c r="A57" s="89"/>
      <c r="B57" s="88"/>
      <c r="D57" s="98"/>
      <c r="E57" s="95"/>
      <c r="F57" s="8"/>
    </row>
    <row r="58" spans="1:11">
      <c r="A58" s="89"/>
      <c r="B58" s="88"/>
      <c r="D58" s="98"/>
      <c r="E58" s="95"/>
      <c r="F58" s="8"/>
    </row>
    <row r="59" spans="1:11">
      <c r="A59" s="89"/>
      <c r="B59" s="88"/>
      <c r="D59" s="98"/>
      <c r="E59" s="95"/>
      <c r="F59" s="8"/>
    </row>
    <row r="60" spans="1:11">
      <c r="A60" s="89"/>
      <c r="B60" s="88"/>
      <c r="D60" s="98"/>
      <c r="E60" s="95"/>
      <c r="F60" s="8"/>
    </row>
    <row r="61" spans="1:11">
      <c r="A61" s="89"/>
      <c r="B61" s="88"/>
      <c r="D61" s="98"/>
      <c r="E61" s="95"/>
      <c r="F61" s="8"/>
    </row>
    <row r="62" spans="1:11" ht="30.6">
      <c r="A62" s="89"/>
      <c r="B62" s="88"/>
      <c r="D62" s="106" t="s">
        <v>82</v>
      </c>
      <c r="E62" s="104"/>
      <c r="F62" s="105"/>
    </row>
    <row r="63" spans="1:11">
      <c r="A63" s="89"/>
      <c r="B63" s="88"/>
    </row>
    <row r="64" spans="1:11">
      <c r="A64" s="89"/>
      <c r="B64" s="88"/>
    </row>
    <row r="65" ht="14.4" customHeight="1"/>
    <row r="66" ht="14.4" customHeight="1"/>
    <row r="67" ht="14.4" customHeight="1"/>
    <row r="68" ht="14.4" customHeight="1"/>
    <row r="69" ht="14.4" customHeight="1"/>
    <row r="70" ht="14.4" customHeight="1"/>
    <row r="71" ht="14.4" customHeight="1"/>
    <row r="72" ht="14.4" customHeight="1"/>
    <row r="73" ht="14.4" customHeight="1"/>
    <row r="74" ht="14.4" customHeight="1"/>
    <row r="75" ht="14.4" customHeight="1"/>
    <row r="76" ht="14.4" customHeight="1"/>
    <row r="77" ht="14.4" customHeight="1"/>
  </sheetData>
  <protectedRanges>
    <protectedRange sqref="D10:D11" name="Range1_1"/>
  </protectedRanges>
  <mergeCells count="7">
    <mergeCell ref="D18:F18"/>
    <mergeCell ref="D2:E2"/>
    <mergeCell ref="D8:F8"/>
    <mergeCell ref="D14:F14"/>
    <mergeCell ref="D5:F5"/>
    <mergeCell ref="D6:F6"/>
    <mergeCell ref="D7:F7"/>
  </mergeCells>
  <hyperlinks>
    <hyperlink ref="D16" r:id="rId1" display="Australian Transport Assessment and Planning PV2 Road Paramter Values (2016)"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BE89-3BAD-4F6D-90DE-ACBD8393A9EB}">
  <sheetPr>
    <tabColor theme="1"/>
  </sheetPr>
  <dimension ref="A1:XFB45"/>
  <sheetViews>
    <sheetView showGridLines="0" workbookViewId="0">
      <selection activeCell="L33" sqref="L33"/>
    </sheetView>
  </sheetViews>
  <sheetFormatPr defaultColWidth="0" defaultRowHeight="14.4" customHeight="1" zeroHeight="1"/>
  <cols>
    <col min="1" max="1" width="8.88671875" customWidth="1"/>
    <col min="2" max="3" width="4.77734375" customWidth="1"/>
    <col min="4" max="4" width="25.77734375" customWidth="1"/>
    <col min="5" max="11" width="8.88671875" customWidth="1"/>
    <col min="12" max="12" width="67" customWidth="1"/>
    <col min="13" max="16382" width="8.88671875" hidden="1"/>
    <col min="16383" max="16383" width="21" customWidth="1"/>
    <col min="16384" max="16384" width="12" customWidth="1"/>
  </cols>
  <sheetData>
    <row r="1" spans="1:11">
      <c r="A1" s="89"/>
      <c r="B1" s="88"/>
    </row>
    <row r="2" spans="1:11">
      <c r="A2" s="89"/>
      <c r="B2" s="88"/>
    </row>
    <row r="3" spans="1:11">
      <c r="A3" s="89"/>
      <c r="B3" s="88"/>
    </row>
    <row r="4" spans="1:11">
      <c r="A4" s="89"/>
      <c r="B4" s="88"/>
    </row>
    <row r="5" spans="1:11">
      <c r="A5" s="89"/>
      <c r="B5" s="88"/>
    </row>
    <row r="6" spans="1:11">
      <c r="A6" s="89"/>
      <c r="B6" s="88"/>
    </row>
    <row r="7" spans="1:11">
      <c r="A7" s="89"/>
      <c r="B7" s="88"/>
    </row>
    <row r="8" spans="1:11">
      <c r="A8" s="89"/>
      <c r="B8" s="88"/>
    </row>
    <row r="9" spans="1:11">
      <c r="A9" s="89"/>
      <c r="B9" s="88"/>
    </row>
    <row r="10" spans="1:11">
      <c r="A10" s="89"/>
      <c r="B10" s="88"/>
    </row>
    <row r="11" spans="1:11" ht="136.19999999999999" customHeight="1">
      <c r="A11" s="89"/>
      <c r="B11" s="88"/>
      <c r="D11" s="167"/>
      <c r="E11" s="167"/>
      <c r="F11" s="167"/>
      <c r="G11" s="167"/>
      <c r="H11" s="167"/>
      <c r="I11" s="167"/>
      <c r="J11" s="167"/>
      <c r="K11" s="167"/>
    </row>
    <row r="12" spans="1:11">
      <c r="A12" s="89"/>
      <c r="B12" s="88"/>
    </row>
    <row r="13" spans="1:11">
      <c r="A13" s="89"/>
      <c r="B13" s="88"/>
    </row>
    <row r="14" spans="1:11">
      <c r="A14" s="89"/>
      <c r="B14" s="88"/>
    </row>
    <row r="15" spans="1:11">
      <c r="A15" s="89"/>
      <c r="B15" s="88"/>
    </row>
    <row r="16" spans="1:11">
      <c r="A16" s="89"/>
      <c r="B16" s="88"/>
    </row>
    <row r="17" spans="1:11">
      <c r="A17" s="89"/>
      <c r="B17" s="88"/>
    </row>
    <row r="18" spans="1:11">
      <c r="A18" s="89"/>
      <c r="B18" s="88"/>
    </row>
    <row r="19" spans="1:11">
      <c r="A19" s="89"/>
      <c r="B19" s="88"/>
    </row>
    <row r="20" spans="1:11">
      <c r="A20" s="89"/>
      <c r="B20" s="88"/>
    </row>
    <row r="21" spans="1:11">
      <c r="A21" s="89"/>
      <c r="B21" s="88"/>
    </row>
    <row r="22" spans="1:11">
      <c r="A22" s="89"/>
      <c r="B22" s="88"/>
    </row>
    <row r="23" spans="1:11">
      <c r="A23" s="89"/>
      <c r="B23" s="88"/>
    </row>
    <row r="24" spans="1:11">
      <c r="A24" s="89"/>
      <c r="B24" s="88"/>
    </row>
    <row r="25" spans="1:11">
      <c r="A25" s="89"/>
      <c r="B25" s="88"/>
    </row>
    <row r="26" spans="1:11">
      <c r="A26" s="89"/>
      <c r="B26" s="88"/>
    </row>
    <row r="27" spans="1:11">
      <c r="A27" s="89"/>
      <c r="B27" s="88"/>
    </row>
    <row r="28" spans="1:11">
      <c r="A28" s="89"/>
      <c r="B28" s="88"/>
    </row>
    <row r="29" spans="1:11">
      <c r="A29" s="89"/>
      <c r="B29" s="88"/>
    </row>
    <row r="30" spans="1:11">
      <c r="A30" s="89"/>
      <c r="B30" s="88"/>
    </row>
    <row r="31" spans="1:11" ht="15">
      <c r="A31" s="89"/>
      <c r="B31" s="88"/>
      <c r="D31" s="168"/>
      <c r="E31" s="168"/>
      <c r="F31" s="168"/>
      <c r="G31" s="168"/>
      <c r="H31" s="168"/>
      <c r="I31" s="168"/>
      <c r="J31" s="168"/>
      <c r="K31" s="168"/>
    </row>
    <row r="32" spans="1:11" ht="15">
      <c r="A32" s="89"/>
      <c r="B32" s="88"/>
      <c r="D32" s="168"/>
      <c r="E32" s="168"/>
      <c r="F32" s="168"/>
      <c r="G32" s="168"/>
      <c r="H32" s="168"/>
      <c r="I32" s="168"/>
      <c r="J32" s="168"/>
      <c r="K32" s="168"/>
    </row>
    <row r="33" spans="1:11" ht="15">
      <c r="A33" s="89"/>
      <c r="B33" s="88"/>
      <c r="D33" s="168"/>
      <c r="E33" s="168"/>
      <c r="F33" s="168"/>
      <c r="G33" s="168"/>
      <c r="H33" s="168"/>
      <c r="I33" s="168"/>
      <c r="J33" s="168"/>
      <c r="K33" s="168"/>
    </row>
    <row r="34" spans="1:11" ht="15.6">
      <c r="A34" s="89"/>
      <c r="B34" s="88"/>
      <c r="D34" s="169"/>
      <c r="E34" s="169"/>
      <c r="F34" s="169"/>
      <c r="G34" s="169"/>
      <c r="H34" s="169"/>
      <c r="I34" s="169"/>
      <c r="J34" s="169"/>
      <c r="K34" s="169"/>
    </row>
    <row r="35" spans="1:11">
      <c r="A35" s="89"/>
      <c r="B35" s="88"/>
      <c r="D35" s="166"/>
      <c r="E35" s="166"/>
      <c r="F35" s="166"/>
      <c r="G35" s="166"/>
      <c r="H35" s="166"/>
      <c r="I35" s="166"/>
      <c r="J35" s="166"/>
      <c r="K35" s="166"/>
    </row>
    <row r="36" spans="1:11">
      <c r="A36" s="89"/>
      <c r="B36" s="88"/>
      <c r="D36" s="166"/>
      <c r="E36" s="166"/>
      <c r="F36" s="166"/>
      <c r="G36" s="166"/>
      <c r="H36" s="166"/>
      <c r="I36" s="166"/>
      <c r="J36" s="166"/>
      <c r="K36" s="166"/>
    </row>
    <row r="37" spans="1:11">
      <c r="A37" s="89"/>
      <c r="B37" s="88"/>
    </row>
    <row r="38" spans="1:11">
      <c r="A38" s="89"/>
      <c r="B38" s="88"/>
      <c r="D38" s="91"/>
    </row>
    <row r="39" spans="1:11">
      <c r="A39" s="89"/>
      <c r="B39" s="88"/>
      <c r="D39" s="90"/>
    </row>
    <row r="40" spans="1:11">
      <c r="A40" s="89"/>
      <c r="B40" s="88"/>
      <c r="D40" s="92"/>
    </row>
    <row r="41" spans="1:11">
      <c r="A41" s="89"/>
      <c r="B41" s="88"/>
      <c r="D41" s="92"/>
    </row>
    <row r="42" spans="1:11">
      <c r="A42" s="89"/>
      <c r="B42" s="88"/>
      <c r="D42" s="90"/>
    </row>
    <row r="43" spans="1:11">
      <c r="A43" s="89"/>
      <c r="B43" s="88"/>
      <c r="D43" s="92"/>
    </row>
    <row r="44" spans="1:11">
      <c r="A44" s="89"/>
      <c r="B44" s="88"/>
    </row>
    <row r="45" spans="1:11">
      <c r="A45" s="89"/>
      <c r="B45" s="88"/>
    </row>
  </sheetData>
  <mergeCells count="7">
    <mergeCell ref="D36:K36"/>
    <mergeCell ref="D11:K11"/>
    <mergeCell ref="D31:K31"/>
    <mergeCell ref="D32:K32"/>
    <mergeCell ref="D33:K33"/>
    <mergeCell ref="D34:K34"/>
    <mergeCell ref="D35:K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153"/>
  <sheetViews>
    <sheetView showGridLines="0" topLeftCell="A13" zoomScale="115" zoomScaleNormal="115" workbookViewId="0">
      <selection activeCell="G23" sqref="G23"/>
    </sheetView>
  </sheetViews>
  <sheetFormatPr defaultColWidth="0" defaultRowHeight="14.4" customHeight="1" zeroHeight="1"/>
  <cols>
    <col min="1" max="1" width="8.88671875" customWidth="1"/>
    <col min="2" max="3" width="4.77734375" customWidth="1"/>
    <col min="4" max="19" width="11.5546875" customWidth="1"/>
    <col min="20" max="16384" width="8.88671875" hidden="1"/>
  </cols>
  <sheetData>
    <row r="1" spans="1:18">
      <c r="A1" s="89"/>
      <c r="B1" s="88"/>
      <c r="D1" s="69"/>
      <c r="E1" s="69"/>
      <c r="F1" s="69"/>
      <c r="G1" s="69"/>
      <c r="H1" s="69"/>
      <c r="I1" s="69"/>
      <c r="J1" s="69"/>
      <c r="K1" s="69"/>
      <c r="L1" s="69"/>
      <c r="M1" s="69"/>
      <c r="N1" s="69"/>
      <c r="O1" s="69"/>
      <c r="P1" s="69"/>
      <c r="Q1" s="69"/>
      <c r="R1" s="69"/>
    </row>
    <row r="2" spans="1:18" ht="45">
      <c r="A2" s="89"/>
      <c r="B2" s="88"/>
      <c r="D2" s="155" t="s">
        <v>170</v>
      </c>
      <c r="E2" s="124"/>
      <c r="F2" s="123"/>
      <c r="G2" s="123"/>
      <c r="H2" s="123"/>
      <c r="I2" s="123"/>
      <c r="J2" s="123"/>
      <c r="K2" s="123"/>
      <c r="L2" s="123"/>
      <c r="M2" s="70"/>
      <c r="N2" s="70"/>
      <c r="O2" s="70"/>
      <c r="P2" s="70"/>
      <c r="Q2" s="70"/>
      <c r="R2" s="70"/>
    </row>
    <row r="3" spans="1:18">
      <c r="A3" s="89"/>
      <c r="B3" s="88"/>
      <c r="D3" s="69"/>
      <c r="E3" s="71"/>
      <c r="F3" s="71"/>
      <c r="G3" s="71"/>
      <c r="H3" s="71"/>
      <c r="I3" s="71"/>
      <c r="J3" s="71"/>
      <c r="K3" s="71"/>
      <c r="L3" s="71"/>
      <c r="M3" s="71"/>
      <c r="N3" s="71"/>
      <c r="O3" s="71"/>
      <c r="P3" s="71"/>
      <c r="Q3" s="71"/>
      <c r="R3" s="71"/>
    </row>
    <row r="4" spans="1:18" ht="17.399999999999999">
      <c r="A4" s="89"/>
      <c r="B4" s="88"/>
      <c r="D4" s="108" t="s">
        <v>60</v>
      </c>
      <c r="E4" s="71"/>
      <c r="F4" s="71"/>
      <c r="G4" s="71"/>
      <c r="H4" s="71"/>
      <c r="I4" s="71"/>
      <c r="J4" s="71"/>
      <c r="K4" s="71"/>
      <c r="L4" s="71"/>
      <c r="M4" s="71"/>
      <c r="N4" s="71"/>
      <c r="O4" s="71"/>
      <c r="P4" s="71"/>
      <c r="Q4" s="71"/>
      <c r="R4" s="71"/>
    </row>
    <row r="5" spans="1:18">
      <c r="A5" s="89"/>
      <c r="B5" s="88"/>
      <c r="D5" s="71" t="s">
        <v>68</v>
      </c>
      <c r="E5" s="71"/>
      <c r="F5" s="71"/>
      <c r="G5" s="71"/>
      <c r="H5" s="71"/>
      <c r="I5" s="71"/>
      <c r="J5" s="71"/>
      <c r="K5" s="71"/>
      <c r="L5" s="71"/>
      <c r="M5" s="71"/>
      <c r="N5" s="71"/>
      <c r="O5" s="71"/>
      <c r="P5" s="71"/>
      <c r="Q5" s="71"/>
      <c r="R5" s="71"/>
    </row>
    <row r="6" spans="1:18">
      <c r="A6" s="89"/>
      <c r="B6" s="88"/>
      <c r="D6" s="125" t="s">
        <v>23</v>
      </c>
      <c r="E6" s="125" t="s">
        <v>83</v>
      </c>
      <c r="F6" s="125" t="s">
        <v>84</v>
      </c>
      <c r="G6" s="125" t="s">
        <v>162</v>
      </c>
      <c r="H6" s="125" t="s">
        <v>157</v>
      </c>
      <c r="I6" s="71"/>
      <c r="J6" s="71"/>
      <c r="K6" s="71"/>
      <c r="L6" s="71"/>
      <c r="M6" s="71"/>
      <c r="N6" s="71"/>
      <c r="O6" s="71"/>
      <c r="P6" s="71"/>
      <c r="Q6" s="71"/>
      <c r="R6" s="71"/>
    </row>
    <row r="7" spans="1:18">
      <c r="A7" s="89"/>
      <c r="B7" s="88"/>
      <c r="D7" s="127">
        <v>5</v>
      </c>
      <c r="E7" s="127">
        <v>8</v>
      </c>
      <c r="F7" s="127">
        <v>20</v>
      </c>
      <c r="G7" s="128">
        <v>50</v>
      </c>
      <c r="H7" s="127" t="s">
        <v>161</v>
      </c>
      <c r="I7" s="71"/>
      <c r="J7" s="71"/>
      <c r="K7" s="71"/>
      <c r="L7" s="71"/>
      <c r="M7" s="71"/>
      <c r="N7" s="109"/>
      <c r="O7" s="71"/>
      <c r="P7" s="71"/>
      <c r="Q7" s="71"/>
      <c r="R7" s="71"/>
    </row>
    <row r="8" spans="1:18">
      <c r="A8" s="89"/>
      <c r="B8" s="88"/>
      <c r="D8" s="71"/>
      <c r="E8" s="71"/>
      <c r="F8" s="71"/>
      <c r="G8" s="71"/>
      <c r="H8" s="110" t="s">
        <v>172</v>
      </c>
      <c r="I8" s="71"/>
      <c r="J8" s="71"/>
      <c r="K8" s="71"/>
      <c r="L8" s="71"/>
      <c r="M8" s="71"/>
      <c r="N8" s="109"/>
      <c r="O8" s="71"/>
      <c r="P8" s="71"/>
      <c r="Q8" s="71"/>
      <c r="R8" s="71"/>
    </row>
    <row r="9" spans="1:18">
      <c r="A9" s="89"/>
      <c r="B9" s="88"/>
      <c r="D9" s="125" t="s">
        <v>34</v>
      </c>
      <c r="E9" s="71"/>
      <c r="F9" s="71"/>
      <c r="G9" s="71"/>
      <c r="H9" s="71"/>
      <c r="I9" s="71"/>
      <c r="J9" s="71"/>
      <c r="K9" s="71"/>
      <c r="L9" s="71"/>
      <c r="M9" s="71"/>
      <c r="N9" s="109"/>
      <c r="O9" s="71"/>
      <c r="P9" s="71"/>
      <c r="Q9" s="71"/>
      <c r="R9" s="71"/>
    </row>
    <row r="10" spans="1:18">
      <c r="A10" s="89"/>
      <c r="B10" s="88"/>
      <c r="D10" s="129">
        <v>0.75</v>
      </c>
      <c r="E10" s="110" t="s">
        <v>188</v>
      </c>
      <c r="F10" s="71"/>
      <c r="G10" s="71"/>
      <c r="H10" s="71"/>
      <c r="I10" s="71"/>
      <c r="J10" s="71"/>
      <c r="K10" s="71"/>
      <c r="L10" s="71"/>
      <c r="M10" s="71"/>
      <c r="N10" s="71"/>
      <c r="O10" s="71"/>
      <c r="P10" s="71"/>
      <c r="Q10" s="71"/>
      <c r="R10" s="71"/>
    </row>
    <row r="11" spans="1:18">
      <c r="A11" s="89"/>
      <c r="B11" s="88"/>
      <c r="D11" s="71"/>
      <c r="E11" s="71"/>
      <c r="F11" s="71"/>
      <c r="G11" s="71"/>
      <c r="H11" s="71"/>
      <c r="I11" s="71"/>
      <c r="J11" s="71"/>
      <c r="K11" s="71"/>
      <c r="L11" s="71"/>
      <c r="M11" s="71"/>
      <c r="N11" s="71"/>
      <c r="O11" s="71"/>
      <c r="P11" s="71"/>
      <c r="Q11" s="71"/>
      <c r="R11" s="71"/>
    </row>
    <row r="12" spans="1:18">
      <c r="A12" s="89"/>
      <c r="B12" s="88"/>
      <c r="D12" s="125" t="s">
        <v>66</v>
      </c>
      <c r="E12" s="71"/>
      <c r="F12" s="71"/>
      <c r="G12" s="109"/>
      <c r="H12" s="71"/>
      <c r="I12" s="71"/>
      <c r="J12" s="71"/>
      <c r="K12" s="71"/>
      <c r="L12" s="71"/>
      <c r="M12" s="71"/>
      <c r="N12" s="71"/>
      <c r="O12" s="71"/>
      <c r="P12" s="71"/>
      <c r="Q12" s="71"/>
      <c r="R12" s="71"/>
    </row>
    <row r="13" spans="1:18">
      <c r="A13" s="89"/>
      <c r="B13" s="88"/>
      <c r="D13" s="126" t="s">
        <v>191</v>
      </c>
      <c r="E13" s="110" t="s">
        <v>171</v>
      </c>
      <c r="F13" s="71"/>
      <c r="G13" s="109"/>
      <c r="H13" s="71"/>
      <c r="I13" s="71"/>
      <c r="J13" s="71"/>
      <c r="K13" s="71"/>
      <c r="L13" s="71"/>
      <c r="M13" s="71"/>
      <c r="N13" s="71"/>
      <c r="O13" s="71"/>
      <c r="P13" s="71"/>
      <c r="Q13" s="71"/>
      <c r="R13" s="71"/>
    </row>
    <row r="14" spans="1:18">
      <c r="A14" s="89"/>
      <c r="B14" s="88"/>
      <c r="D14" s="71"/>
      <c r="E14" s="71"/>
      <c r="F14" s="71"/>
      <c r="G14" s="111"/>
      <c r="H14" s="71"/>
      <c r="I14" s="71"/>
      <c r="J14" s="71"/>
      <c r="K14" s="71"/>
      <c r="L14" s="71"/>
      <c r="M14" s="71"/>
      <c r="N14" s="71"/>
      <c r="O14" s="71"/>
      <c r="P14" s="71"/>
      <c r="Q14" s="71"/>
      <c r="R14" s="71"/>
    </row>
    <row r="15" spans="1:18">
      <c r="A15" s="89"/>
      <c r="B15" s="88"/>
      <c r="D15" s="173" t="s">
        <v>157</v>
      </c>
      <c r="E15" s="174"/>
      <c r="F15" s="174"/>
      <c r="G15" s="175"/>
      <c r="H15" s="112"/>
      <c r="I15" s="71"/>
      <c r="J15" s="71"/>
      <c r="K15" s="71"/>
      <c r="L15" s="71"/>
      <c r="M15" s="71"/>
      <c r="N15" s="71"/>
      <c r="O15" s="71"/>
      <c r="P15" s="71"/>
      <c r="Q15" s="71"/>
      <c r="R15" s="71"/>
    </row>
    <row r="16" spans="1:18">
      <c r="A16" s="89"/>
      <c r="B16" s="88"/>
      <c r="D16" s="140" t="s">
        <v>158</v>
      </c>
      <c r="E16" s="148"/>
      <c r="F16" s="132" t="s">
        <v>161</v>
      </c>
      <c r="G16" s="132" t="s">
        <v>159</v>
      </c>
      <c r="H16" s="149"/>
      <c r="I16" s="71"/>
      <c r="J16" s="71"/>
      <c r="K16" s="71"/>
      <c r="L16" s="71"/>
      <c r="M16" s="71"/>
      <c r="N16" s="71"/>
      <c r="O16" s="71"/>
      <c r="P16" s="71"/>
      <c r="Q16" s="71"/>
      <c r="R16" s="71"/>
    </row>
    <row r="17" spans="1:18">
      <c r="A17" s="89"/>
      <c r="B17" s="88"/>
      <c r="D17" s="137" t="s">
        <v>118</v>
      </c>
      <c r="E17" s="150"/>
      <c r="F17" s="131">
        <v>0</v>
      </c>
      <c r="G17" s="130">
        <v>0</v>
      </c>
      <c r="H17" s="161">
        <f t="shared" ref="H17:H40" si="0">IF(H$7=F$16,F17,G17)</f>
        <v>0</v>
      </c>
      <c r="I17" s="71"/>
      <c r="J17" s="71"/>
      <c r="K17" s="71"/>
      <c r="L17" s="71"/>
      <c r="M17" s="71"/>
      <c r="N17" s="71"/>
      <c r="O17" s="71"/>
      <c r="P17" s="71"/>
      <c r="Q17" s="71"/>
      <c r="R17" s="71"/>
    </row>
    <row r="18" spans="1:18">
      <c r="A18" s="89"/>
      <c r="B18" s="88"/>
      <c r="D18" s="137" t="s">
        <v>119</v>
      </c>
      <c r="E18" s="150"/>
      <c r="F18" s="131">
        <f>'Additional inputs'!G96</f>
        <v>0.71349999999999991</v>
      </c>
      <c r="G18" s="130">
        <v>0.71349999999999991</v>
      </c>
      <c r="H18" s="161">
        <f t="shared" si="0"/>
        <v>0.71349999999999991</v>
      </c>
      <c r="I18" s="71"/>
      <c r="J18" s="71"/>
      <c r="K18" s="71"/>
      <c r="L18" s="71"/>
      <c r="M18" s="71"/>
      <c r="N18" s="71"/>
      <c r="O18" s="71"/>
      <c r="P18" s="71"/>
      <c r="Q18" s="71"/>
      <c r="R18" s="71"/>
    </row>
    <row r="19" spans="1:18">
      <c r="A19" s="89"/>
      <c r="B19" s="88"/>
      <c r="D19" s="137" t="s">
        <v>120</v>
      </c>
      <c r="E19" s="150"/>
      <c r="F19" s="131">
        <v>0</v>
      </c>
      <c r="G19" s="130">
        <v>0</v>
      </c>
      <c r="H19" s="161">
        <f t="shared" si="0"/>
        <v>0</v>
      </c>
      <c r="I19" s="71"/>
      <c r="J19" s="71"/>
      <c r="K19" s="71"/>
      <c r="L19" s="71"/>
      <c r="M19" s="71"/>
      <c r="N19" s="71"/>
      <c r="O19" s="71"/>
      <c r="P19" s="71"/>
      <c r="Q19" s="71"/>
      <c r="R19" s="71"/>
    </row>
    <row r="20" spans="1:18">
      <c r="A20" s="89"/>
      <c r="B20" s="88"/>
      <c r="D20" s="137" t="s">
        <v>155</v>
      </c>
      <c r="E20" s="150"/>
      <c r="F20" s="131">
        <f>'Additional inputs'!G99</f>
        <v>9.2300000000000007E-2</v>
      </c>
      <c r="G20" s="130">
        <v>9.2300000000000007E-2</v>
      </c>
      <c r="H20" s="161">
        <f t="shared" si="0"/>
        <v>9.2300000000000007E-2</v>
      </c>
      <c r="I20" s="71"/>
      <c r="J20" s="71"/>
      <c r="K20" s="71"/>
      <c r="L20" s="71"/>
      <c r="M20" s="71"/>
      <c r="N20" s="71"/>
      <c r="O20" s="71"/>
      <c r="P20" s="71"/>
      <c r="Q20" s="71"/>
      <c r="R20" s="71"/>
    </row>
    <row r="21" spans="1:18">
      <c r="A21" s="89"/>
      <c r="B21" s="88"/>
      <c r="D21" s="137" t="s">
        <v>156</v>
      </c>
      <c r="E21" s="150"/>
      <c r="F21" s="131">
        <f>'Additional inputs'!G100</f>
        <v>6.6100000000000006E-2</v>
      </c>
      <c r="G21" s="130">
        <v>6.6100000000000006E-2</v>
      </c>
      <c r="H21" s="161">
        <f t="shared" si="0"/>
        <v>6.6100000000000006E-2</v>
      </c>
      <c r="I21" s="71"/>
      <c r="J21" s="71"/>
      <c r="K21" s="71"/>
      <c r="L21" s="71"/>
      <c r="M21" s="71"/>
      <c r="N21" s="71"/>
      <c r="O21" s="71"/>
      <c r="P21" s="71"/>
      <c r="Q21" s="71"/>
      <c r="R21" s="71"/>
    </row>
    <row r="22" spans="1:18">
      <c r="A22" s="89"/>
      <c r="B22" s="88"/>
      <c r="D22" s="137" t="s">
        <v>121</v>
      </c>
      <c r="E22" s="150"/>
      <c r="F22" s="131">
        <f>'Additional inputs'!G102</f>
        <v>8.0000000000000002E-3</v>
      </c>
      <c r="G22" s="130">
        <v>8.0000000000000002E-3</v>
      </c>
      <c r="H22" s="161">
        <f t="shared" si="0"/>
        <v>8.0000000000000002E-3</v>
      </c>
      <c r="I22" s="71"/>
      <c r="J22" s="71"/>
      <c r="K22" s="71"/>
      <c r="L22" s="71"/>
      <c r="M22" s="71"/>
      <c r="N22" s="71"/>
      <c r="O22" s="71"/>
      <c r="P22" s="71"/>
      <c r="Q22" s="71"/>
      <c r="R22" s="71"/>
    </row>
    <row r="23" spans="1:18">
      <c r="A23" s="89"/>
      <c r="B23" s="88"/>
      <c r="D23" s="137" t="s">
        <v>122</v>
      </c>
      <c r="E23" s="150"/>
      <c r="F23" s="131">
        <f>'Additional inputs'!G103</f>
        <v>1.38E-2</v>
      </c>
      <c r="G23" s="130">
        <v>1.38E-2</v>
      </c>
      <c r="H23" s="161">
        <f t="shared" si="0"/>
        <v>1.38E-2</v>
      </c>
      <c r="I23" s="71"/>
      <c r="J23" s="71"/>
      <c r="K23" s="71"/>
      <c r="L23" s="71"/>
      <c r="M23" s="71"/>
      <c r="N23" s="71"/>
      <c r="O23" s="71"/>
      <c r="P23" s="71"/>
      <c r="Q23" s="71"/>
      <c r="R23" s="71"/>
    </row>
    <row r="24" spans="1:18">
      <c r="A24" s="89"/>
      <c r="B24" s="88"/>
      <c r="D24" s="137" t="s">
        <v>123</v>
      </c>
      <c r="E24" s="150"/>
      <c r="F24" s="131">
        <f>'Additional inputs'!G104</f>
        <v>2.8199999999999999E-2</v>
      </c>
      <c r="G24" s="130">
        <v>2.8199999999999999E-2</v>
      </c>
      <c r="H24" s="161">
        <f t="shared" si="0"/>
        <v>2.8199999999999999E-2</v>
      </c>
      <c r="I24" s="71"/>
      <c r="J24" s="71"/>
      <c r="K24" s="71"/>
      <c r="L24" s="71"/>
      <c r="M24" s="71"/>
      <c r="N24" s="71"/>
      <c r="O24" s="71"/>
      <c r="P24" s="71"/>
      <c r="Q24" s="71"/>
      <c r="R24" s="71"/>
    </row>
    <row r="25" spans="1:18">
      <c r="A25" s="89"/>
      <c r="B25" s="88"/>
      <c r="D25" s="137" t="s">
        <v>149</v>
      </c>
      <c r="E25" s="150"/>
      <c r="F25" s="131">
        <f>'Additional inputs'!G118</f>
        <v>7.7000000000000002E-3</v>
      </c>
      <c r="G25" s="130">
        <v>7.7000000000000002E-3</v>
      </c>
      <c r="H25" s="161">
        <f t="shared" si="0"/>
        <v>7.7000000000000002E-3</v>
      </c>
      <c r="I25" s="71"/>
      <c r="J25" s="71"/>
      <c r="K25" s="71"/>
      <c r="L25" s="71"/>
      <c r="M25" s="71"/>
      <c r="N25" s="71"/>
      <c r="O25" s="71"/>
      <c r="P25" s="71"/>
      <c r="Q25" s="71"/>
      <c r="R25" s="71"/>
    </row>
    <row r="26" spans="1:18">
      <c r="A26" s="89"/>
      <c r="B26" s="88"/>
      <c r="D26" s="137" t="s">
        <v>124</v>
      </c>
      <c r="E26" s="150"/>
      <c r="F26" s="131">
        <f>'Additional inputs'!G106</f>
        <v>3.2000000000000002E-3</v>
      </c>
      <c r="G26" s="130">
        <v>3.2000000000000002E-3</v>
      </c>
      <c r="H26" s="161">
        <f t="shared" si="0"/>
        <v>3.2000000000000002E-3</v>
      </c>
      <c r="I26" s="71"/>
      <c r="J26" s="71"/>
      <c r="K26" s="71"/>
      <c r="L26" s="71"/>
      <c r="M26" s="71"/>
      <c r="N26" s="71"/>
      <c r="O26" s="71"/>
      <c r="P26" s="71"/>
      <c r="Q26" s="71"/>
      <c r="R26" s="71"/>
    </row>
    <row r="27" spans="1:18">
      <c r="A27" s="89"/>
      <c r="B27" s="88"/>
      <c r="D27" s="137" t="s">
        <v>125</v>
      </c>
      <c r="E27" s="150"/>
      <c r="F27" s="131">
        <f>'Additional inputs'!G107</f>
        <v>3.9000000000000003E-3</v>
      </c>
      <c r="G27" s="130">
        <v>3.9000000000000003E-3</v>
      </c>
      <c r="H27" s="161">
        <f t="shared" si="0"/>
        <v>3.9000000000000003E-3</v>
      </c>
      <c r="I27" s="71"/>
      <c r="J27" s="71"/>
      <c r="K27" s="71"/>
      <c r="L27" s="71"/>
      <c r="M27" s="71"/>
      <c r="N27" s="71"/>
      <c r="O27" s="71"/>
      <c r="P27" s="71"/>
      <c r="Q27" s="71"/>
      <c r="R27" s="71"/>
    </row>
    <row r="28" spans="1:18">
      <c r="A28" s="89"/>
      <c r="B28" s="88"/>
      <c r="D28" s="137" t="s">
        <v>126</v>
      </c>
      <c r="E28" s="150"/>
      <c r="F28" s="131">
        <f>'Additional inputs'!G108</f>
        <v>2.3599999999999999E-2</v>
      </c>
      <c r="G28" s="130">
        <v>2.3599999999999999E-2</v>
      </c>
      <c r="H28" s="161">
        <f t="shared" si="0"/>
        <v>2.3599999999999999E-2</v>
      </c>
      <c r="I28" s="71"/>
      <c r="J28" s="71"/>
      <c r="K28" s="71"/>
      <c r="L28" s="71"/>
      <c r="M28" s="71"/>
      <c r="N28" s="71"/>
      <c r="O28" s="71"/>
      <c r="P28" s="71"/>
      <c r="Q28" s="71"/>
      <c r="R28" s="71"/>
    </row>
    <row r="29" spans="1:18">
      <c r="A29" s="89"/>
      <c r="B29" s="88"/>
      <c r="D29" s="137" t="s">
        <v>179</v>
      </c>
      <c r="E29" s="150"/>
      <c r="F29" s="131">
        <f>'Additional inputs'!G110</f>
        <v>5.9999999999999995E-4</v>
      </c>
      <c r="G29" s="130">
        <v>5.9999999999999995E-4</v>
      </c>
      <c r="H29" s="161">
        <f t="shared" si="0"/>
        <v>5.9999999999999995E-4</v>
      </c>
      <c r="I29" s="71"/>
      <c r="J29" s="71"/>
      <c r="K29" s="71"/>
      <c r="L29" s="71"/>
      <c r="M29" s="71"/>
      <c r="N29" s="71"/>
      <c r="O29" s="71"/>
      <c r="P29" s="71"/>
      <c r="Q29" s="71"/>
      <c r="R29" s="71"/>
    </row>
    <row r="30" spans="1:18">
      <c r="A30" s="89"/>
      <c r="B30" s="88"/>
      <c r="D30" s="137" t="s">
        <v>180</v>
      </c>
      <c r="E30" s="150"/>
      <c r="F30" s="131">
        <f>'Additional inputs'!G111</f>
        <v>3.6000000000000004E-2</v>
      </c>
      <c r="G30" s="130">
        <v>3.6000000000000004E-2</v>
      </c>
      <c r="H30" s="161">
        <f t="shared" si="0"/>
        <v>3.6000000000000004E-2</v>
      </c>
      <c r="I30" s="71"/>
      <c r="J30" s="71"/>
      <c r="K30" s="71"/>
      <c r="L30" s="71"/>
      <c r="M30" s="71"/>
      <c r="N30" s="71"/>
      <c r="O30" s="71"/>
      <c r="P30" s="71"/>
      <c r="Q30" s="71"/>
      <c r="R30" s="71"/>
    </row>
    <row r="31" spans="1:18">
      <c r="A31" s="89"/>
      <c r="B31" s="88"/>
      <c r="D31" s="137" t="s">
        <v>181</v>
      </c>
      <c r="E31" s="150"/>
      <c r="F31" s="131">
        <f>'Additional inputs'!G112</f>
        <v>5.9999999999999995E-4</v>
      </c>
      <c r="G31" s="130">
        <v>5.9999999999999995E-4</v>
      </c>
      <c r="H31" s="161">
        <f t="shared" si="0"/>
        <v>5.9999999999999995E-4</v>
      </c>
      <c r="I31" s="71"/>
      <c r="J31" s="71"/>
      <c r="K31" s="71"/>
      <c r="L31" s="71"/>
      <c r="M31" s="71"/>
      <c r="N31" s="71"/>
      <c r="O31" s="71"/>
      <c r="P31" s="71"/>
      <c r="Q31" s="71"/>
      <c r="R31" s="71"/>
    </row>
    <row r="32" spans="1:18">
      <c r="A32" s="89"/>
      <c r="B32" s="88"/>
      <c r="D32" s="137" t="s">
        <v>182</v>
      </c>
      <c r="E32" s="150"/>
      <c r="F32" s="131">
        <f>'Additional inputs'!G113</f>
        <v>5.9999999999999995E-4</v>
      </c>
      <c r="G32" s="130">
        <v>5.9999999999999995E-4</v>
      </c>
      <c r="H32" s="161">
        <f t="shared" si="0"/>
        <v>5.9999999999999995E-4</v>
      </c>
      <c r="I32" s="71"/>
      <c r="J32" s="71"/>
      <c r="K32" s="71"/>
      <c r="L32" s="71"/>
      <c r="M32" s="71"/>
      <c r="N32" s="71"/>
      <c r="O32" s="71"/>
      <c r="P32" s="71"/>
      <c r="Q32" s="71"/>
      <c r="R32" s="71"/>
    </row>
    <row r="33" spans="1:18">
      <c r="A33" s="89"/>
      <c r="B33" s="88"/>
      <c r="D33" s="137" t="s">
        <v>183</v>
      </c>
      <c r="E33" s="150"/>
      <c r="F33" s="131">
        <f>'Additional inputs'!G114</f>
        <v>4.0000000000000002E-4</v>
      </c>
      <c r="G33" s="130">
        <v>4.0000000000000002E-4</v>
      </c>
      <c r="H33" s="161">
        <f t="shared" si="0"/>
        <v>4.0000000000000002E-4</v>
      </c>
      <c r="I33" s="71"/>
      <c r="J33" s="71"/>
      <c r="K33" s="71"/>
      <c r="L33" s="71"/>
      <c r="M33" s="71"/>
      <c r="N33" s="71"/>
      <c r="O33" s="71"/>
      <c r="P33" s="71"/>
      <c r="Q33" s="71"/>
      <c r="R33" s="71"/>
    </row>
    <row r="34" spans="1:18">
      <c r="A34" s="89"/>
      <c r="B34" s="88"/>
      <c r="D34" s="137" t="s">
        <v>184</v>
      </c>
      <c r="E34" s="150"/>
      <c r="F34" s="131">
        <f>'Additional inputs'!G115</f>
        <v>1E-4</v>
      </c>
      <c r="G34" s="130">
        <v>1E-4</v>
      </c>
      <c r="H34" s="161">
        <f t="shared" si="0"/>
        <v>1E-4</v>
      </c>
      <c r="I34" s="71"/>
      <c r="J34" s="71"/>
      <c r="K34" s="71"/>
      <c r="L34" s="71"/>
      <c r="M34" s="71"/>
      <c r="N34" s="71"/>
      <c r="O34" s="71"/>
      <c r="P34" s="71"/>
      <c r="Q34" s="71"/>
      <c r="R34" s="71"/>
    </row>
    <row r="35" spans="1:18">
      <c r="A35" s="89"/>
      <c r="B35" s="88"/>
      <c r="D35" s="137" t="s">
        <v>185</v>
      </c>
      <c r="E35" s="150"/>
      <c r="F35" s="131">
        <f>'Additional inputs'!G116</f>
        <v>4.0000000000000002E-4</v>
      </c>
      <c r="G35" s="130">
        <v>4.0000000000000002E-4</v>
      </c>
      <c r="H35" s="161">
        <f t="shared" si="0"/>
        <v>4.0000000000000002E-4</v>
      </c>
      <c r="I35" s="71"/>
      <c r="J35" s="71"/>
      <c r="K35" s="71"/>
      <c r="L35" s="71"/>
      <c r="M35" s="71"/>
      <c r="N35" s="71"/>
      <c r="O35" s="71"/>
      <c r="P35" s="71"/>
      <c r="Q35" s="71"/>
      <c r="R35" s="71"/>
    </row>
    <row r="36" spans="1:18">
      <c r="A36" s="89"/>
      <c r="B36" s="88"/>
      <c r="D36" s="137" t="s">
        <v>186</v>
      </c>
      <c r="E36" s="150"/>
      <c r="F36" s="131">
        <f>'Additional inputs'!G117</f>
        <v>5.0000000000000001E-4</v>
      </c>
      <c r="G36" s="130">
        <v>5.0000000000000001E-4</v>
      </c>
      <c r="H36" s="161">
        <f t="shared" si="0"/>
        <v>5.0000000000000001E-4</v>
      </c>
      <c r="I36" s="71"/>
      <c r="J36" s="71"/>
      <c r="K36" s="71"/>
      <c r="L36" s="71"/>
      <c r="M36" s="71"/>
      <c r="N36" s="71"/>
      <c r="O36" s="71"/>
      <c r="P36" s="71"/>
      <c r="Q36" s="71"/>
      <c r="R36" s="71"/>
    </row>
    <row r="37" spans="1:18">
      <c r="A37" s="89"/>
      <c r="B37" s="88"/>
      <c r="D37" s="151" t="s">
        <v>151</v>
      </c>
      <c r="E37" s="152"/>
      <c r="F37" s="113">
        <f>F18</f>
        <v>0.71349999999999991</v>
      </c>
      <c r="G37" s="113">
        <f>G18</f>
        <v>0.71349999999999991</v>
      </c>
      <c r="H37" s="161">
        <f t="shared" si="0"/>
        <v>0.71349999999999991</v>
      </c>
      <c r="I37" s="71"/>
      <c r="J37" s="71"/>
      <c r="K37" s="71"/>
      <c r="L37" s="71"/>
      <c r="M37" s="71"/>
      <c r="N37" s="71"/>
      <c r="O37" s="71"/>
      <c r="P37" s="71"/>
      <c r="Q37" s="71"/>
      <c r="R37" s="71"/>
    </row>
    <row r="38" spans="1:18">
      <c r="A38" s="89"/>
      <c r="B38" s="88"/>
      <c r="D38" s="151" t="s">
        <v>152</v>
      </c>
      <c r="E38" s="152"/>
      <c r="F38" s="113">
        <f>SUM(F20:F21)</f>
        <v>0.15840000000000001</v>
      </c>
      <c r="G38" s="113">
        <f>SUM(G20:G21)</f>
        <v>0.15840000000000001</v>
      </c>
      <c r="H38" s="161">
        <f t="shared" si="0"/>
        <v>0.15840000000000001</v>
      </c>
      <c r="I38" s="71"/>
      <c r="J38" s="71"/>
      <c r="K38" s="71"/>
      <c r="L38" s="71"/>
      <c r="M38" s="71"/>
      <c r="N38" s="71"/>
      <c r="O38" s="71"/>
      <c r="P38" s="71"/>
      <c r="Q38" s="71"/>
      <c r="R38" s="71"/>
    </row>
    <row r="39" spans="1:18">
      <c r="A39" s="89"/>
      <c r="B39" s="88"/>
      <c r="D39" s="151" t="s">
        <v>153</v>
      </c>
      <c r="E39" s="152"/>
      <c r="F39" s="113">
        <f>SUM(F22:F36)</f>
        <v>0.12759999999999999</v>
      </c>
      <c r="G39" s="113">
        <f>SUM(G22:G36)</f>
        <v>0.12759999999999999</v>
      </c>
      <c r="H39" s="161">
        <f t="shared" si="0"/>
        <v>0.12759999999999999</v>
      </c>
      <c r="I39" s="71"/>
      <c r="J39" s="71"/>
      <c r="K39" s="71"/>
      <c r="L39" s="71"/>
      <c r="M39" s="71"/>
      <c r="N39" s="71"/>
      <c r="O39" s="71"/>
      <c r="P39" s="71"/>
      <c r="Q39" s="71"/>
      <c r="R39" s="71"/>
    </row>
    <row r="40" spans="1:18">
      <c r="A40" s="89"/>
      <c r="B40" s="88"/>
      <c r="D40" s="151" t="s">
        <v>160</v>
      </c>
      <c r="E40" s="152"/>
      <c r="F40" s="113">
        <f>SUM(F17:F36)</f>
        <v>0.99950000000000006</v>
      </c>
      <c r="G40" s="113">
        <f>SUM(G17:G36)</f>
        <v>0.99950000000000006</v>
      </c>
      <c r="H40" s="161">
        <f t="shared" si="0"/>
        <v>0.99950000000000006</v>
      </c>
      <c r="I40" s="71"/>
      <c r="J40" s="71"/>
      <c r="K40" s="71"/>
      <c r="L40" s="71"/>
      <c r="M40" s="71"/>
      <c r="N40" s="71"/>
      <c r="O40" s="71"/>
      <c r="P40" s="71"/>
      <c r="Q40" s="71"/>
      <c r="R40" s="71"/>
    </row>
    <row r="41" spans="1:18">
      <c r="A41" s="89"/>
      <c r="B41" s="88"/>
      <c r="D41" s="71"/>
      <c r="E41" s="71"/>
      <c r="F41" s="71"/>
      <c r="G41" s="114"/>
      <c r="H41" s="71"/>
      <c r="I41" s="71"/>
      <c r="J41" s="71"/>
      <c r="K41" s="71"/>
      <c r="L41" s="71"/>
      <c r="M41" s="71"/>
      <c r="N41" s="71"/>
      <c r="O41" s="71"/>
      <c r="P41" s="71"/>
      <c r="Q41" s="71"/>
      <c r="R41" s="71"/>
    </row>
    <row r="42" spans="1:18">
      <c r="A42" s="89"/>
      <c r="B42" s="88"/>
      <c r="D42" s="69"/>
      <c r="E42" s="71"/>
      <c r="F42" s="71"/>
      <c r="G42" s="71"/>
      <c r="H42" s="71"/>
      <c r="I42" s="71"/>
      <c r="J42" s="71"/>
      <c r="K42" s="71"/>
      <c r="L42" s="71"/>
      <c r="M42" s="71"/>
      <c r="N42" s="71"/>
      <c r="O42" s="71"/>
      <c r="P42" s="71"/>
      <c r="Q42" s="71"/>
      <c r="R42" s="71"/>
    </row>
    <row r="43" spans="1:18" ht="17.399999999999999">
      <c r="A43" s="89"/>
      <c r="B43" s="88"/>
      <c r="D43" s="108" t="s">
        <v>89</v>
      </c>
      <c r="E43" s="69"/>
      <c r="F43" s="71"/>
      <c r="G43" s="71"/>
      <c r="H43" s="71"/>
      <c r="I43" s="108" t="s">
        <v>105</v>
      </c>
      <c r="J43" s="69"/>
      <c r="K43" s="69"/>
      <c r="L43" s="69"/>
      <c r="M43" s="69"/>
      <c r="N43" s="68"/>
      <c r="O43" s="68"/>
      <c r="P43" s="68"/>
      <c r="Q43" s="71"/>
      <c r="R43" s="71"/>
    </row>
    <row r="44" spans="1:18" ht="15">
      <c r="A44" s="89"/>
      <c r="B44" s="88"/>
      <c r="D44" s="176" t="str">
        <f>"Rural VOC values in cents per km for IRI of "&amp;$D$7&amp;", Gradient of "&amp;$E$7&amp;", and Curvature of "&amp;$F$7&amp;" in $"&amp;$D$13&amp;" prices, by speed and vehicle class, for payloads of "&amp;$D$10&amp;":"</f>
        <v>Rural VOC values in cents per km for IRI of 5, Gradient of 8, and Curvature of 20 in $2021-22 prices, by speed and vehicle class, for payloads of 0.75:</v>
      </c>
      <c r="E44" s="176"/>
      <c r="F44" s="176"/>
      <c r="G44" s="176"/>
      <c r="H44" s="115"/>
      <c r="I44" s="176" t="str">
        <f>"Fuel consumption values in litres per 100km for IRI of "&amp;$D$7&amp;", Gradient of "&amp;$E$7&amp;", and Curvature of "&amp;$F$7&amp;" in $"&amp;$D$13&amp;" prices, by speed and vehicle class, for payloads of "&amp;$D$10&amp;":"</f>
        <v>Fuel consumption values in litres per 100km for IRI of 5, Gradient of 8, and Curvature of 20 in $2021-22 prices, by speed and vehicle class, for payloads of 0.75:</v>
      </c>
      <c r="J44" s="176"/>
      <c r="K44" s="176"/>
      <c r="L44" s="176"/>
      <c r="M44" s="176"/>
      <c r="N44" s="68"/>
      <c r="O44" s="68"/>
      <c r="P44" s="68"/>
      <c r="Q44" s="115"/>
      <c r="R44" s="71"/>
    </row>
    <row r="45" spans="1:18">
      <c r="A45" s="89"/>
      <c r="B45" s="88"/>
      <c r="D45" s="125" t="s">
        <v>90</v>
      </c>
      <c r="E45" s="125"/>
      <c r="F45" s="125" t="s">
        <v>103</v>
      </c>
      <c r="G45" s="69"/>
      <c r="H45" s="71"/>
      <c r="I45" s="125" t="s">
        <v>90</v>
      </c>
      <c r="J45" s="125"/>
      <c r="K45" s="125" t="s">
        <v>104</v>
      </c>
      <c r="L45" s="71"/>
      <c r="M45" s="71"/>
      <c r="N45" s="68"/>
      <c r="O45" s="68"/>
      <c r="P45" s="68"/>
      <c r="Q45" s="71"/>
      <c r="R45" s="71"/>
    </row>
    <row r="46" spans="1:18">
      <c r="A46" s="89"/>
      <c r="B46" s="88"/>
      <c r="D46" s="137" t="s">
        <v>0</v>
      </c>
      <c r="E46" s="134"/>
      <c r="F46" s="117">
        <f t="shared" ref="F46:F65" si="1">F76</f>
        <v>31.160000666014469</v>
      </c>
      <c r="G46" s="71"/>
      <c r="H46" s="71"/>
      <c r="I46" s="137" t="s">
        <v>0</v>
      </c>
      <c r="J46" s="138"/>
      <c r="K46" s="117">
        <f t="shared" ref="K46:K65" si="2">F105</f>
        <v>9.5977324692467985</v>
      </c>
      <c r="L46" s="71"/>
      <c r="M46" s="71"/>
      <c r="N46" s="68"/>
      <c r="O46" s="68"/>
      <c r="P46" s="68"/>
      <c r="Q46" s="71"/>
      <c r="R46" s="71"/>
    </row>
    <row r="47" spans="1:18">
      <c r="A47" s="89"/>
      <c r="B47" s="88"/>
      <c r="D47" s="137" t="s">
        <v>1</v>
      </c>
      <c r="E47" s="134"/>
      <c r="F47" s="117">
        <f t="shared" si="1"/>
        <v>41.602396254749245</v>
      </c>
      <c r="G47" s="71"/>
      <c r="H47" s="71"/>
      <c r="I47" s="137" t="s">
        <v>1</v>
      </c>
      <c r="J47" s="138"/>
      <c r="K47" s="117">
        <f t="shared" si="2"/>
        <v>11.702627303543858</v>
      </c>
      <c r="L47" s="71"/>
      <c r="M47" s="71"/>
      <c r="N47" s="68"/>
      <c r="O47" s="68"/>
      <c r="P47" s="68"/>
      <c r="Q47" s="71"/>
      <c r="R47" s="71"/>
    </row>
    <row r="48" spans="1:18">
      <c r="A48" s="89"/>
      <c r="B48" s="88"/>
      <c r="D48" s="137" t="s">
        <v>2</v>
      </c>
      <c r="E48" s="134"/>
      <c r="F48" s="117">
        <f t="shared" si="1"/>
        <v>53.969302743351484</v>
      </c>
      <c r="G48" s="71"/>
      <c r="H48" s="71"/>
      <c r="I48" s="137" t="s">
        <v>2</v>
      </c>
      <c r="J48" s="138"/>
      <c r="K48" s="117">
        <f t="shared" si="2"/>
        <v>14.222653319100816</v>
      </c>
      <c r="L48" s="71"/>
      <c r="M48" s="71"/>
      <c r="N48" s="68"/>
      <c r="O48" s="68"/>
      <c r="P48" s="68"/>
      <c r="Q48" s="71"/>
      <c r="R48" s="71"/>
    </row>
    <row r="49" spans="1:18">
      <c r="A49" s="89"/>
      <c r="B49" s="88"/>
      <c r="D49" s="137" t="s">
        <v>3</v>
      </c>
      <c r="E49" s="134"/>
      <c r="F49" s="117">
        <f t="shared" si="1"/>
        <v>51.1197707685849</v>
      </c>
      <c r="G49" s="71"/>
      <c r="H49" s="71"/>
      <c r="I49" s="137" t="s">
        <v>3</v>
      </c>
      <c r="J49" s="138"/>
      <c r="K49" s="117">
        <f t="shared" si="2"/>
        <v>14.943289182268547</v>
      </c>
      <c r="L49" s="71"/>
      <c r="M49" s="71"/>
      <c r="N49" s="68"/>
      <c r="O49" s="68"/>
      <c r="P49" s="68"/>
      <c r="Q49" s="71"/>
      <c r="R49" s="71"/>
    </row>
    <row r="50" spans="1:18">
      <c r="A50" s="89"/>
      <c r="B50" s="88"/>
      <c r="D50" s="137" t="s">
        <v>4</v>
      </c>
      <c r="E50" s="134"/>
      <c r="F50" s="117">
        <f t="shared" si="1"/>
        <v>53.306781603590757</v>
      </c>
      <c r="G50" s="71"/>
      <c r="H50" s="71"/>
      <c r="I50" s="137" t="s">
        <v>4</v>
      </c>
      <c r="J50" s="138"/>
      <c r="K50" s="117">
        <f t="shared" si="2"/>
        <v>16.147574355193981</v>
      </c>
      <c r="L50" s="71"/>
      <c r="M50" s="71"/>
      <c r="N50" s="68"/>
      <c r="O50" s="68"/>
      <c r="P50" s="68"/>
      <c r="Q50" s="71"/>
      <c r="R50" s="71"/>
    </row>
    <row r="51" spans="1:18">
      <c r="A51" s="89"/>
      <c r="B51" s="88"/>
      <c r="D51" s="137" t="s">
        <v>5</v>
      </c>
      <c r="E51" s="134"/>
      <c r="F51" s="117">
        <f t="shared" si="1"/>
        <v>72.735566444996095</v>
      </c>
      <c r="G51" s="71"/>
      <c r="H51" s="71"/>
      <c r="I51" s="137" t="s">
        <v>5</v>
      </c>
      <c r="J51" s="138"/>
      <c r="K51" s="117">
        <f t="shared" si="2"/>
        <v>17.908595956490689</v>
      </c>
      <c r="L51" s="71"/>
      <c r="M51" s="71"/>
      <c r="N51" s="68"/>
      <c r="O51" s="68"/>
      <c r="P51" s="68"/>
      <c r="Q51" s="71"/>
      <c r="R51" s="71"/>
    </row>
    <row r="52" spans="1:18">
      <c r="A52" s="89"/>
      <c r="B52" s="88"/>
      <c r="D52" s="137" t="s">
        <v>6</v>
      </c>
      <c r="E52" s="134"/>
      <c r="F52" s="117">
        <f t="shared" si="1"/>
        <v>96.830870651794598</v>
      </c>
      <c r="G52" s="71"/>
      <c r="H52" s="71"/>
      <c r="I52" s="137" t="s">
        <v>6</v>
      </c>
      <c r="J52" s="138"/>
      <c r="K52" s="117">
        <f t="shared" si="2"/>
        <v>39.879247055390607</v>
      </c>
      <c r="L52" s="71"/>
      <c r="M52" s="71"/>
      <c r="N52" s="68"/>
      <c r="O52" s="68"/>
      <c r="P52" s="68"/>
      <c r="Q52" s="71"/>
      <c r="R52" s="71"/>
    </row>
    <row r="53" spans="1:18">
      <c r="A53" s="89"/>
      <c r="B53" s="88"/>
      <c r="D53" s="137" t="s">
        <v>7</v>
      </c>
      <c r="E53" s="134"/>
      <c r="F53" s="117">
        <f t="shared" si="1"/>
        <v>169.3472260913056</v>
      </c>
      <c r="G53" s="71"/>
      <c r="H53" s="71"/>
      <c r="I53" s="137" t="s">
        <v>7</v>
      </c>
      <c r="J53" s="138"/>
      <c r="K53" s="117">
        <f t="shared" si="2"/>
        <v>85.032987782856438</v>
      </c>
      <c r="L53" s="71"/>
      <c r="M53" s="71"/>
      <c r="N53" s="68"/>
      <c r="O53" s="68"/>
      <c r="P53" s="68"/>
      <c r="Q53" s="71"/>
      <c r="R53" s="71"/>
    </row>
    <row r="54" spans="1:18">
      <c r="A54" s="89"/>
      <c r="B54" s="88"/>
      <c r="D54" s="137" t="s">
        <v>8</v>
      </c>
      <c r="E54" s="134"/>
      <c r="F54" s="117">
        <f t="shared" si="1"/>
        <v>203.86186655081173</v>
      </c>
      <c r="G54" s="71"/>
      <c r="H54" s="71"/>
      <c r="I54" s="137" t="s">
        <v>8</v>
      </c>
      <c r="J54" s="138"/>
      <c r="K54" s="117">
        <f t="shared" si="2"/>
        <v>78.405937137083143</v>
      </c>
      <c r="L54" s="71"/>
      <c r="M54" s="71"/>
      <c r="N54" s="68"/>
      <c r="O54" s="68"/>
      <c r="P54" s="68"/>
      <c r="Q54" s="71"/>
      <c r="R54" s="71"/>
    </row>
    <row r="55" spans="1:18">
      <c r="A55" s="89"/>
      <c r="B55" s="88"/>
      <c r="D55" s="137" t="s">
        <v>9</v>
      </c>
      <c r="E55" s="134"/>
      <c r="F55" s="117">
        <f t="shared" si="1"/>
        <v>237.03875701490927</v>
      </c>
      <c r="G55" s="71"/>
      <c r="H55" s="71"/>
      <c r="I55" s="137" t="s">
        <v>9</v>
      </c>
      <c r="J55" s="138"/>
      <c r="K55" s="117">
        <f t="shared" si="2"/>
        <v>113.74192778668353</v>
      </c>
      <c r="L55" s="71"/>
      <c r="M55" s="71"/>
      <c r="N55" s="68"/>
      <c r="O55" s="68"/>
      <c r="P55" s="68"/>
      <c r="Q55" s="71"/>
      <c r="R55" s="71"/>
    </row>
    <row r="56" spans="1:18">
      <c r="A56" s="89"/>
      <c r="B56" s="88"/>
      <c r="D56" s="137" t="s">
        <v>10</v>
      </c>
      <c r="E56" s="134"/>
      <c r="F56" s="117">
        <f t="shared" si="1"/>
        <v>269.96343980666063</v>
      </c>
      <c r="G56" s="71"/>
      <c r="H56" s="71"/>
      <c r="I56" s="137" t="s">
        <v>10</v>
      </c>
      <c r="J56" s="138"/>
      <c r="K56" s="117">
        <f t="shared" si="2"/>
        <v>135.63894504799941</v>
      </c>
      <c r="L56" s="71"/>
      <c r="M56" s="71"/>
      <c r="N56" s="68"/>
      <c r="O56" s="68"/>
      <c r="P56" s="68"/>
      <c r="Q56" s="71"/>
      <c r="R56" s="71"/>
    </row>
    <row r="57" spans="1:18">
      <c r="A57" s="89"/>
      <c r="B57" s="88"/>
      <c r="D57" s="137" t="s">
        <v>11</v>
      </c>
      <c r="E57" s="134"/>
      <c r="F57" s="117">
        <f t="shared" si="1"/>
        <v>294.6402345949586</v>
      </c>
      <c r="G57" s="71"/>
      <c r="H57" s="71"/>
      <c r="I57" s="137" t="s">
        <v>11</v>
      </c>
      <c r="J57" s="138"/>
      <c r="K57" s="117">
        <f t="shared" si="2"/>
        <v>148.21693028821124</v>
      </c>
      <c r="L57" s="71"/>
      <c r="M57" s="71"/>
      <c r="N57" s="68"/>
      <c r="O57" s="68"/>
      <c r="P57" s="68"/>
      <c r="Q57" s="71"/>
      <c r="R57" s="71"/>
    </row>
    <row r="58" spans="1:18">
      <c r="A58" s="89"/>
      <c r="B58" s="88"/>
      <c r="D58" s="137" t="s">
        <v>12</v>
      </c>
      <c r="E58" s="134"/>
      <c r="F58" s="117">
        <f t="shared" si="1"/>
        <v>357.80770339169334</v>
      </c>
      <c r="G58" s="71"/>
      <c r="H58" s="71"/>
      <c r="I58" s="137" t="s">
        <v>12</v>
      </c>
      <c r="J58" s="138"/>
      <c r="K58" s="117">
        <f t="shared" si="2"/>
        <v>201.10413076130112</v>
      </c>
      <c r="L58" s="71"/>
      <c r="M58" s="71"/>
      <c r="N58" s="68"/>
      <c r="O58" s="68"/>
      <c r="P58" s="68"/>
      <c r="Q58" s="71"/>
      <c r="R58" s="71"/>
    </row>
    <row r="59" spans="1:18">
      <c r="A59" s="89"/>
      <c r="B59" s="88"/>
      <c r="D59" s="137" t="s">
        <v>14</v>
      </c>
      <c r="E59" s="134"/>
      <c r="F59" s="117">
        <f t="shared" si="1"/>
        <v>390.48999742261799</v>
      </c>
      <c r="G59" s="71"/>
      <c r="H59" s="71"/>
      <c r="I59" s="137" t="s">
        <v>14</v>
      </c>
      <c r="J59" s="138"/>
      <c r="K59" s="117">
        <f t="shared" si="2"/>
        <v>214.71163928215097</v>
      </c>
      <c r="L59" s="71"/>
      <c r="M59" s="71"/>
      <c r="N59" s="68"/>
      <c r="O59" s="68"/>
      <c r="P59" s="68"/>
      <c r="Q59" s="71"/>
      <c r="R59" s="71"/>
    </row>
    <row r="60" spans="1:18">
      <c r="A60" s="89"/>
      <c r="B60" s="88"/>
      <c r="D60" s="137" t="s">
        <v>15</v>
      </c>
      <c r="E60" s="134"/>
      <c r="F60" s="117">
        <f t="shared" si="1"/>
        <v>396.01558228988534</v>
      </c>
      <c r="G60" s="71"/>
      <c r="H60" s="71"/>
      <c r="I60" s="137" t="s">
        <v>15</v>
      </c>
      <c r="J60" s="138"/>
      <c r="K60" s="117">
        <f t="shared" si="2"/>
        <v>217.47632249053001</v>
      </c>
      <c r="L60" s="71"/>
      <c r="M60" s="71"/>
      <c r="N60" s="68"/>
      <c r="O60" s="68"/>
      <c r="P60" s="68"/>
      <c r="Q60" s="71"/>
      <c r="R60" s="71"/>
    </row>
    <row r="61" spans="1:18">
      <c r="A61" s="89"/>
      <c r="B61" s="88"/>
      <c r="D61" s="137" t="s">
        <v>16</v>
      </c>
      <c r="E61" s="134"/>
      <c r="F61" s="117">
        <f t="shared" si="1"/>
        <v>495.58149170266734</v>
      </c>
      <c r="G61" s="71"/>
      <c r="H61" s="71"/>
      <c r="I61" s="137" t="s">
        <v>16</v>
      </c>
      <c r="J61" s="138"/>
      <c r="K61" s="117">
        <f t="shared" si="2"/>
        <v>277.1027605260237</v>
      </c>
      <c r="L61" s="71"/>
      <c r="M61" s="71"/>
      <c r="N61" s="68"/>
      <c r="O61" s="68"/>
      <c r="P61" s="68"/>
      <c r="Q61" s="71"/>
      <c r="R61" s="71"/>
    </row>
    <row r="62" spans="1:18">
      <c r="A62" s="89"/>
      <c r="B62" s="88"/>
      <c r="D62" s="137" t="s">
        <v>17</v>
      </c>
      <c r="E62" s="134"/>
      <c r="F62" s="117">
        <f t="shared" si="1"/>
        <v>544.72165117379359</v>
      </c>
      <c r="G62" s="71"/>
      <c r="H62" s="71"/>
      <c r="I62" s="137" t="s">
        <v>17</v>
      </c>
      <c r="J62" s="138"/>
      <c r="K62" s="117">
        <f t="shared" si="2"/>
        <v>292.26179112110594</v>
      </c>
      <c r="L62" s="71"/>
      <c r="M62" s="71"/>
      <c r="N62" s="68"/>
      <c r="O62" s="68"/>
      <c r="P62" s="68"/>
      <c r="Q62" s="71"/>
      <c r="R62" s="71"/>
    </row>
    <row r="63" spans="1:18">
      <c r="A63" s="89"/>
      <c r="B63" s="88"/>
      <c r="D63" s="137" t="s">
        <v>18</v>
      </c>
      <c r="E63" s="134"/>
      <c r="F63" s="117">
        <f t="shared" si="1"/>
        <v>605.35642182938886</v>
      </c>
      <c r="G63" s="71"/>
      <c r="H63" s="71"/>
      <c r="I63" s="137" t="s">
        <v>18</v>
      </c>
      <c r="J63" s="138"/>
      <c r="K63" s="117">
        <f t="shared" si="2"/>
        <v>358.75497109338352</v>
      </c>
      <c r="L63" s="71"/>
      <c r="M63" s="71"/>
      <c r="N63" s="68"/>
      <c r="O63" s="68"/>
      <c r="P63" s="68"/>
      <c r="Q63" s="71"/>
      <c r="R63" s="71"/>
    </row>
    <row r="64" spans="1:18">
      <c r="A64" s="89"/>
      <c r="B64" s="88"/>
      <c r="D64" s="137" t="s">
        <v>19</v>
      </c>
      <c r="E64" s="134"/>
      <c r="F64" s="117">
        <f t="shared" si="1"/>
        <v>717.01601358153562</v>
      </c>
      <c r="G64" s="71"/>
      <c r="H64" s="71"/>
      <c r="I64" s="137" t="s">
        <v>19</v>
      </c>
      <c r="J64" s="138"/>
      <c r="K64" s="117">
        <f t="shared" si="2"/>
        <v>430.48656963964078</v>
      </c>
      <c r="L64" s="71"/>
      <c r="M64" s="71"/>
      <c r="N64" s="68"/>
      <c r="O64" s="68"/>
      <c r="P64" s="68"/>
      <c r="Q64" s="71"/>
      <c r="R64" s="71"/>
    </row>
    <row r="65" spans="1:18">
      <c r="A65" s="89"/>
      <c r="B65" s="88"/>
      <c r="D65" s="137" t="s">
        <v>20</v>
      </c>
      <c r="E65" s="134"/>
      <c r="F65" s="117">
        <f t="shared" si="1"/>
        <v>738.98182944190864</v>
      </c>
      <c r="G65" s="71"/>
      <c r="H65" s="71"/>
      <c r="I65" s="137" t="s">
        <v>20</v>
      </c>
      <c r="J65" s="138"/>
      <c r="K65" s="117">
        <f t="shared" si="2"/>
        <v>447.95070826665449</v>
      </c>
      <c r="L65" s="71"/>
      <c r="M65" s="71"/>
      <c r="N65" s="68"/>
      <c r="O65" s="68"/>
      <c r="P65" s="68"/>
      <c r="Q65" s="71"/>
      <c r="R65" s="71"/>
    </row>
    <row r="66" spans="1:18">
      <c r="A66" s="89"/>
      <c r="B66" s="88"/>
      <c r="D66" s="135" t="s">
        <v>151</v>
      </c>
      <c r="E66" s="136"/>
      <c r="F66" s="118">
        <f>SUMPRODUCT($F$46:$F$48,$H$17:$H$19)/SUM($H$17:$H$19)</f>
        <v>41.602396254749245</v>
      </c>
      <c r="G66" s="71"/>
      <c r="H66" s="71"/>
      <c r="I66" s="135" t="s">
        <v>151</v>
      </c>
      <c r="J66" s="139"/>
      <c r="K66" s="118">
        <f>SUMPRODUCT($K$46:$K$48,$H$17:$H$19)/SUM($H$17:$H$19)</f>
        <v>11.702627303543858</v>
      </c>
      <c r="L66" s="71"/>
      <c r="M66" s="71"/>
      <c r="N66" s="68"/>
      <c r="O66" s="68"/>
      <c r="P66" s="68"/>
      <c r="Q66" s="71"/>
      <c r="R66" s="71"/>
    </row>
    <row r="67" spans="1:18">
      <c r="A67" s="89"/>
      <c r="B67" s="88"/>
      <c r="D67" s="135" t="s">
        <v>152</v>
      </c>
      <c r="E67" s="136"/>
      <c r="F67" s="118">
        <f>SUMPRODUCT($F$49:$F$50,$H$20:$H$21)/SUM($H$20:$H$21)</f>
        <v>52.032405971829142</v>
      </c>
      <c r="G67" s="71"/>
      <c r="H67" s="116"/>
      <c r="I67" s="135" t="s">
        <v>152</v>
      </c>
      <c r="J67" s="139"/>
      <c r="K67" s="118">
        <f>SUMPRODUCT($K$49:$K$50,$H$20:$H$21)/SUM($H$20:$H$21)</f>
        <v>15.445834952030991</v>
      </c>
      <c r="L67" s="71"/>
      <c r="M67" s="71"/>
      <c r="N67" s="68"/>
      <c r="O67" s="68"/>
      <c r="P67" s="68"/>
      <c r="Q67" s="71"/>
      <c r="R67" s="71"/>
    </row>
    <row r="68" spans="1:18">
      <c r="A68" s="89"/>
      <c r="B68" s="88"/>
      <c r="D68" s="135" t="s">
        <v>153</v>
      </c>
      <c r="E68" s="136"/>
      <c r="F68" s="118">
        <f>SUMPRODUCT($H$22:$H$36,$F$51:$F$65)/SUM(H22:H36)</f>
        <v>256.8211133648615</v>
      </c>
      <c r="G68" s="116"/>
      <c r="H68" s="116"/>
      <c r="I68" s="135" t="s">
        <v>153</v>
      </c>
      <c r="J68" s="139"/>
      <c r="K68" s="118">
        <f>SUMPRODUCT($K$51:$K$65,$H$22:$H$36)/SUM($H$22:$H$36)</f>
        <v>131.52134087637847</v>
      </c>
      <c r="L68" s="71"/>
      <c r="M68" s="71"/>
      <c r="N68" s="68"/>
      <c r="O68" s="68"/>
      <c r="P68" s="68"/>
      <c r="Q68" s="71"/>
      <c r="R68" s="71"/>
    </row>
    <row r="69" spans="1:18">
      <c r="A69" s="89"/>
      <c r="B69" s="88"/>
      <c r="D69" s="135" t="s">
        <v>154</v>
      </c>
      <c r="E69" s="136"/>
      <c r="F69" s="118">
        <f>SUMPRODUCT($F$46:$F$65,$H$17:$H$36)/SUM(H17:H36)</f>
        <v>70.730982390252763</v>
      </c>
      <c r="G69" s="116"/>
      <c r="H69" s="116"/>
      <c r="I69" s="135" t="s">
        <v>154</v>
      </c>
      <c r="J69" s="139"/>
      <c r="K69" s="118">
        <f>SUMPRODUCT($H$17:$H$36,$K$46:$K$65)/SUM($H$17:$H$36)</f>
        <v>27.592364115363825</v>
      </c>
      <c r="L69" s="71"/>
      <c r="M69" s="71"/>
      <c r="N69" s="68"/>
      <c r="O69" s="68"/>
      <c r="P69" s="68"/>
      <c r="Q69" s="71"/>
      <c r="R69" s="71"/>
    </row>
    <row r="70" spans="1:18">
      <c r="A70" s="89"/>
      <c r="B70" s="88"/>
      <c r="D70" s="69"/>
      <c r="E70" s="109"/>
      <c r="F70" s="116"/>
      <c r="G70" s="116"/>
      <c r="H70" s="116"/>
      <c r="I70" s="116"/>
      <c r="J70" s="116"/>
      <c r="K70" s="71"/>
      <c r="L70" s="71"/>
      <c r="M70" s="71"/>
      <c r="N70" s="71"/>
      <c r="O70" s="71"/>
      <c r="P70" s="71"/>
      <c r="Q70" s="71"/>
      <c r="R70" s="71"/>
    </row>
    <row r="71" spans="1:18">
      <c r="A71" s="89"/>
      <c r="B71" s="88"/>
      <c r="D71" s="69"/>
      <c r="E71" s="71"/>
      <c r="F71" s="109"/>
      <c r="G71" s="116"/>
      <c r="H71" s="116"/>
      <c r="I71" s="116"/>
      <c r="J71" s="116"/>
      <c r="K71" s="116"/>
      <c r="L71" s="116"/>
      <c r="M71" s="116"/>
      <c r="N71" s="69"/>
      <c r="O71" s="69"/>
      <c r="P71" s="69"/>
      <c r="Q71" s="69"/>
      <c r="R71" s="69"/>
    </row>
    <row r="72" spans="1:18" ht="17.399999999999999">
      <c r="A72" s="89"/>
      <c r="B72" s="88"/>
      <c r="D72" s="108" t="s">
        <v>110</v>
      </c>
      <c r="E72" s="69"/>
      <c r="F72" s="69"/>
      <c r="G72" s="71"/>
      <c r="H72" s="71"/>
      <c r="I72" s="71"/>
      <c r="J72" s="71"/>
      <c r="K72" s="71"/>
      <c r="L72" s="71"/>
      <c r="M72" s="69"/>
      <c r="N72" s="69"/>
      <c r="O72" s="69"/>
      <c r="P72" s="69"/>
      <c r="Q72" s="69"/>
      <c r="R72" s="69"/>
    </row>
    <row r="73" spans="1:18" ht="15">
      <c r="A73" s="89"/>
      <c r="B73" s="88"/>
      <c r="D73" s="119" t="str">
        <f>"Rural VOC values in cents per km for IRI of "&amp;$D$7&amp;", Gradient of "&amp;$E$7&amp;", and Curvature of "&amp;$F$7&amp;" in $"&amp;$D$13&amp;" prices, by speed and vehicle class, for payloads of "&amp;$D$10&amp;":"</f>
        <v>Rural VOC values in cents per km for IRI of 5, Gradient of 8, and Curvature of 20 in $2021-22 prices, by speed and vehicle class, for payloads of 0.75:</v>
      </c>
      <c r="E73" s="119"/>
      <c r="F73" s="119"/>
      <c r="G73" s="119"/>
      <c r="H73" s="71"/>
      <c r="I73" s="71"/>
      <c r="J73" s="71"/>
      <c r="K73" s="71"/>
      <c r="L73" s="71"/>
      <c r="M73" s="71"/>
      <c r="N73" s="71"/>
      <c r="O73" s="71"/>
      <c r="P73" s="71"/>
      <c r="Q73" s="71"/>
      <c r="R73" s="71"/>
    </row>
    <row r="74" spans="1:18">
      <c r="A74" s="89"/>
      <c r="B74" s="88"/>
      <c r="D74" s="69"/>
      <c r="E74" s="69"/>
      <c r="F74" s="71"/>
      <c r="G74" s="154" t="s">
        <v>69</v>
      </c>
      <c r="H74" s="71"/>
      <c r="I74" s="71"/>
      <c r="J74" s="71"/>
      <c r="K74" s="71"/>
      <c r="L74" s="71"/>
      <c r="M74" s="71"/>
      <c r="N74" s="71"/>
      <c r="O74" s="71"/>
      <c r="P74" s="71"/>
      <c r="Q74" s="71"/>
      <c r="R74" s="71"/>
    </row>
    <row r="75" spans="1:18">
      <c r="A75" s="89"/>
      <c r="B75" s="88"/>
      <c r="D75" s="140" t="s">
        <v>90</v>
      </c>
      <c r="E75" s="141"/>
      <c r="F75" s="148"/>
      <c r="G75" s="153">
        <v>15</v>
      </c>
      <c r="H75" s="153">
        <v>20</v>
      </c>
      <c r="I75" s="153">
        <v>25</v>
      </c>
      <c r="J75" s="153">
        <v>30</v>
      </c>
      <c r="K75" s="153">
        <v>40</v>
      </c>
      <c r="L75" s="153">
        <v>50</v>
      </c>
      <c r="M75" s="153">
        <v>60</v>
      </c>
      <c r="N75" s="153">
        <v>70</v>
      </c>
      <c r="O75" s="153">
        <v>80</v>
      </c>
      <c r="P75" s="153">
        <v>90</v>
      </c>
      <c r="Q75" s="153">
        <v>100</v>
      </c>
      <c r="R75" s="153">
        <v>110</v>
      </c>
    </row>
    <row r="76" spans="1:18">
      <c r="A76" s="89"/>
      <c r="B76" s="88"/>
      <c r="D76" s="133" t="s">
        <v>0</v>
      </c>
      <c r="E76" s="147"/>
      <c r="F76" s="144">
        <f>'Additional inputs'!G44*('Additional inputs'!H44+'Additional inputs'!I44/Calculator!$G$7+'Additional inputs'!J44*Calculator!$G$7^2+'Additional inputs'!K44*Calculator!$D$7+'Additional inputs'!L44*Calculator!$D$7^2+'Additional inputs'!M44*'Additional inputs'!K6)*(1+'Additional inputs'!$H$39)</f>
        <v>31.160000666014469</v>
      </c>
      <c r="G76" s="11">
        <f t="dataTable" ref="G76:R95" dt2D="0" dtr="1" r1="G7"/>
        <v>41.051822014408359</v>
      </c>
      <c r="H76" s="11">
        <v>37.307511206667094</v>
      </c>
      <c r="I76" s="11">
        <v>35.100739775016059</v>
      </c>
      <c r="J76" s="11">
        <v>33.67103283411717</v>
      </c>
      <c r="K76" s="11">
        <v>32.002100096568668</v>
      </c>
      <c r="L76" s="11">
        <v>31.160000666014469</v>
      </c>
      <c r="M76" s="11">
        <v>30.764497099785512</v>
      </c>
      <c r="N76" s="11">
        <v>30.652630493880789</v>
      </c>
      <c r="O76" s="11">
        <v>30.742921396299792</v>
      </c>
      <c r="P76" s="11">
        <v>30.990103444820015</v>
      </c>
      <c r="Q76" s="11">
        <v>31.367016822107946</v>
      </c>
      <c r="R76" s="11">
        <v>31.856378008042274</v>
      </c>
    </row>
    <row r="77" spans="1:18">
      <c r="A77" s="89"/>
      <c r="B77" s="88"/>
      <c r="D77" s="133" t="s">
        <v>1</v>
      </c>
      <c r="E77" s="147"/>
      <c r="F77" s="144">
        <f>'Additional inputs'!G45*('Additional inputs'!H45+'Additional inputs'!I45/Calculator!$G$7+'Additional inputs'!J45*Calculator!$G$7^2+'Additional inputs'!K45*Calculator!$D$7+'Additional inputs'!L45*Calculator!$D$7^2+'Additional inputs'!M45*'Additional inputs'!K7)*(1+'Additional inputs'!$H$39)</f>
        <v>41.602396254749245</v>
      </c>
      <c r="G77" s="11">
        <v>57.001688781576632</v>
      </c>
      <c r="H77" s="11">
        <v>51.331208585525886</v>
      </c>
      <c r="I77" s="11">
        <v>47.961058418961969</v>
      </c>
      <c r="J77" s="11">
        <v>45.74776867361367</v>
      </c>
      <c r="K77" s="11">
        <v>43.076566034157061</v>
      </c>
      <c r="L77" s="11">
        <v>41.602396254749245</v>
      </c>
      <c r="M77" s="11">
        <v>40.753524531254591</v>
      </c>
      <c r="N77" s="11">
        <v>40.28492166190069</v>
      </c>
      <c r="O77" s="11">
        <v>40.074073045801356</v>
      </c>
      <c r="P77" s="11">
        <v>40.052915015797581</v>
      </c>
      <c r="Q77" s="11">
        <v>40.180609371593974</v>
      </c>
      <c r="R77" s="11">
        <v>40.431168167547987</v>
      </c>
    </row>
    <row r="78" spans="1:18">
      <c r="A78" s="89"/>
      <c r="B78" s="88"/>
      <c r="D78" s="133" t="s">
        <v>2</v>
      </c>
      <c r="E78" s="147"/>
      <c r="F78" s="144">
        <f>'Additional inputs'!G46*('Additional inputs'!H46+'Additional inputs'!I46/Calculator!$G$7+'Additional inputs'!J46*Calculator!$G$7^2+'Additional inputs'!K46*Calculator!$D$7+'Additional inputs'!L46*Calculator!$D$7^2+'Additional inputs'!M46*'Additional inputs'!K8)*(1+'Additional inputs'!$H$39)</f>
        <v>53.969302743351484</v>
      </c>
      <c r="G78" s="11">
        <v>75.557146302335894</v>
      </c>
      <c r="H78" s="11">
        <v>67.664644690392947</v>
      </c>
      <c r="I78" s="11">
        <v>62.963507484871265</v>
      </c>
      <c r="J78" s="11">
        <v>59.865211599569399</v>
      </c>
      <c r="K78" s="11">
        <v>56.094359160322988</v>
      </c>
      <c r="L78" s="11">
        <v>53.969302743351484</v>
      </c>
      <c r="M78" s="11">
        <v>52.695780805554215</v>
      </c>
      <c r="N78" s="11">
        <v>51.933395542745131</v>
      </c>
      <c r="O78" s="11">
        <v>51.511948052831208</v>
      </c>
      <c r="P78" s="11">
        <v>51.33688339020523</v>
      </c>
      <c r="Q78" s="11">
        <v>51.351468587502865</v>
      </c>
      <c r="R78" s="11">
        <v>51.519600847310429</v>
      </c>
    </row>
    <row r="79" spans="1:18">
      <c r="A79" s="89"/>
      <c r="B79" s="88"/>
      <c r="D79" s="133" t="s">
        <v>3</v>
      </c>
      <c r="E79" s="147"/>
      <c r="F79" s="144">
        <f>'Additional inputs'!G47*('Additional inputs'!H47+'Additional inputs'!I47/Calculator!$G$7+'Additional inputs'!J47*Calculator!$G$7^2+'Additional inputs'!K47*Calculator!$D$7+'Additional inputs'!L47*Calculator!$D$7^2+'Additional inputs'!M47*'Additional inputs'!K9)*(1+'Additional inputs'!$J$39)</f>
        <v>51.1197707685849</v>
      </c>
      <c r="G79" s="11">
        <v>62.996583079698254</v>
      </c>
      <c r="H79" s="11">
        <v>58.819343547572949</v>
      </c>
      <c r="I79" s="11">
        <v>56.300862576454911</v>
      </c>
      <c r="J79" s="11">
        <v>54.609232291706576</v>
      </c>
      <c r="K79" s="11">
        <v>52.458661969362673</v>
      </c>
      <c r="L79" s="11">
        <v>51.1197707685849</v>
      </c>
      <c r="M79" s="11">
        <v>50.17660475205448</v>
      </c>
      <c r="N79" s="11">
        <v>49.45089794663479</v>
      </c>
      <c r="O79" s="11">
        <v>48.853517365757526</v>
      </c>
      <c r="P79" s="11">
        <v>48.334944683551399</v>
      </c>
      <c r="Q79" s="11">
        <v>47.865468904493646</v>
      </c>
      <c r="R79" s="11">
        <v>47.426183031433396</v>
      </c>
    </row>
    <row r="80" spans="1:18">
      <c r="A80" s="89"/>
      <c r="B80" s="88"/>
      <c r="D80" s="133" t="s">
        <v>4</v>
      </c>
      <c r="E80" s="147"/>
      <c r="F80" s="144">
        <f>'Additional inputs'!G48*('Additional inputs'!H48+'Additional inputs'!I48/Calculator!$G$7+'Additional inputs'!J48*Calculator!$G$7^2+'Additional inputs'!K48*Calculator!$D$7+'Additional inputs'!L48*Calculator!$D$7^2+'Additional inputs'!M48*'Additional inputs'!K10)*(1+'Additional inputs'!$J$39)</f>
        <v>53.306781603590757</v>
      </c>
      <c r="G80" s="11">
        <v>65.88563903951777</v>
      </c>
      <c r="H80" s="11">
        <v>61.303900983200108</v>
      </c>
      <c r="I80" s="11">
        <v>58.571665485326328</v>
      </c>
      <c r="J80" s="11">
        <v>56.767682794990471</v>
      </c>
      <c r="K80" s="11">
        <v>54.562601210573639</v>
      </c>
      <c r="L80" s="11">
        <v>53.306781603590757</v>
      </c>
      <c r="M80" s="11">
        <v>52.53959909858883</v>
      </c>
      <c r="N80" s="11">
        <v>52.063643034659449</v>
      </c>
      <c r="O80" s="11">
        <v>51.78020808134842</v>
      </c>
      <c r="P80" s="11">
        <v>51.634457943958942</v>
      </c>
      <c r="Q80" s="11">
        <v>51.59349084567296</v>
      </c>
      <c r="R80" s="11">
        <v>51.63636929215172</v>
      </c>
    </row>
    <row r="81" spans="1:18">
      <c r="A81" s="89"/>
      <c r="B81" s="88"/>
      <c r="D81" s="133" t="s">
        <v>5</v>
      </c>
      <c r="E81" s="147"/>
      <c r="F81" s="144">
        <f>'Additional inputs'!G49*('Additional inputs'!H49+'Additional inputs'!I49/Calculator!$G$7+'Additional inputs'!J49*Calculator!$G$7^2+'Additional inputs'!K49*Calculator!$D$7+'Additional inputs'!L49*Calculator!$D$7^2+'Additional inputs'!M49*'Additional inputs'!K11)*(1+'Additional inputs'!$J$39)</f>
        <v>72.735566444996095</v>
      </c>
      <c r="G81" s="11">
        <v>85.750472897699751</v>
      </c>
      <c r="H81" s="11">
        <v>80.880174455938572</v>
      </c>
      <c r="I81" s="11">
        <v>77.999805756208076</v>
      </c>
      <c r="J81" s="11">
        <v>76.123112420269251</v>
      </c>
      <c r="K81" s="11">
        <v>73.901370272407945</v>
      </c>
      <c r="L81" s="11">
        <v>72.735566444996095</v>
      </c>
      <c r="M81" s="11">
        <v>72.132573748914126</v>
      </c>
      <c r="N81" s="11">
        <v>71.8810519602537</v>
      </c>
      <c r="O81" s="11">
        <v>71.875330967060648</v>
      </c>
      <c r="P81" s="11">
        <v>72.056705151582605</v>
      </c>
      <c r="Q81" s="11">
        <v>72.389951143168204</v>
      </c>
      <c r="R81" s="11">
        <v>72.852654069584744</v>
      </c>
    </row>
    <row r="82" spans="1:18">
      <c r="A82" s="89"/>
      <c r="B82" s="88"/>
      <c r="D82" s="133" t="s">
        <v>6</v>
      </c>
      <c r="E82" s="147"/>
      <c r="F82" s="144">
        <f>'Additional inputs'!G50*('Additional inputs'!H50+'Additional inputs'!I50/Calculator!$G$7+'Additional inputs'!J50*Calculator!$G$7^2+'Additional inputs'!K50*Calculator!$D$7+'Additional inputs'!L50*Calculator!$D$7^2+'Additional inputs'!M50*'Additional inputs'!K12)*(1+'Additional inputs'!$J$39)</f>
        <v>96.830870651794598</v>
      </c>
      <c r="G82" s="11">
        <v>119.21578731988987</v>
      </c>
      <c r="H82" s="11">
        <v>110.93868705280971</v>
      </c>
      <c r="I82" s="11">
        <v>106.02560094834172</v>
      </c>
      <c r="J82" s="11">
        <v>102.80559985346733</v>
      </c>
      <c r="K82" s="11">
        <v>98.938458962971595</v>
      </c>
      <c r="L82" s="11">
        <v>96.830870651794598</v>
      </c>
      <c r="M82" s="11">
        <v>95.647370343427056</v>
      </c>
      <c r="N82" s="11">
        <v>95.029901790793602</v>
      </c>
      <c r="O82" s="11">
        <v>94.79943687035653</v>
      </c>
      <c r="P82" s="11">
        <v>94.856515513483728</v>
      </c>
      <c r="Q82" s="11">
        <v>95.141461678996023</v>
      </c>
      <c r="R82" s="11">
        <v>95.616299704324774</v>
      </c>
    </row>
    <row r="83" spans="1:18">
      <c r="A83" s="89"/>
      <c r="B83" s="88"/>
      <c r="D83" s="133" t="s">
        <v>7</v>
      </c>
      <c r="E83" s="147"/>
      <c r="F83" s="144">
        <f>'Additional inputs'!G51*('Additional inputs'!H51+'Additional inputs'!I51/Calculator!$G$7+'Additional inputs'!J51*Calculator!$G$7^2+'Additional inputs'!K51*Calculator!$D$7+'Additional inputs'!L51*Calculator!$D$7^2+'Additional inputs'!M51*'Additional inputs'!K13)*(1+'Additional inputs'!$J$39)</f>
        <v>169.3472260913056</v>
      </c>
      <c r="G83" s="11">
        <v>206.82735792930299</v>
      </c>
      <c r="H83" s="11">
        <v>193.44694849985441</v>
      </c>
      <c r="I83" s="11">
        <v>185.41769541794721</v>
      </c>
      <c r="J83" s="11">
        <v>180.06381062976109</v>
      </c>
      <c r="K83" s="11">
        <v>173.36846385382162</v>
      </c>
      <c r="L83" s="11">
        <v>169.3472260913056</v>
      </c>
      <c r="M83" s="11">
        <v>166.66220331530292</v>
      </c>
      <c r="N83" s="11">
        <v>164.74001237142357</v>
      </c>
      <c r="O83" s="11">
        <v>163.2939616824724</v>
      </c>
      <c r="P83" s="11">
        <v>162.16477815000783</v>
      </c>
      <c r="Q83" s="11">
        <v>161.25689791496481</v>
      </c>
      <c r="R83" s="11">
        <v>160.50950761248379</v>
      </c>
    </row>
    <row r="84" spans="1:18">
      <c r="A84" s="89"/>
      <c r="B84" s="88"/>
      <c r="D84" s="133" t="s">
        <v>8</v>
      </c>
      <c r="E84" s="147"/>
      <c r="F84" s="144">
        <f>'Additional inputs'!G52*('Additional inputs'!H52+'Additional inputs'!I52/Calculator!$G$7+'Additional inputs'!J52*Calculator!$G$7^2+'Additional inputs'!K52*Calculator!$D$7+'Additional inputs'!L52*Calculator!$D$7^2+'Additional inputs'!M52*'Additional inputs'!K14)*(1+'Additional inputs'!$J$39)</f>
        <v>203.86186655081173</v>
      </c>
      <c r="G84" s="11">
        <v>249.1393413179363</v>
      </c>
      <c r="H84" s="11">
        <v>234.83406447751682</v>
      </c>
      <c r="I84" s="11">
        <v>225.89979251686512</v>
      </c>
      <c r="J84" s="11">
        <v>219.57787594268066</v>
      </c>
      <c r="K84" s="11">
        <v>210.63313471376256</v>
      </c>
      <c r="L84" s="11">
        <v>203.86186655081173</v>
      </c>
      <c r="M84" s="11">
        <v>197.88474670717784</v>
      </c>
      <c r="N84" s="11">
        <v>192.11063600572504</v>
      </c>
      <c r="O84" s="11">
        <v>186.24396485788543</v>
      </c>
      <c r="P84" s="11">
        <v>180.12052793667689</v>
      </c>
      <c r="Q84" s="11">
        <v>173.64180204591</v>
      </c>
      <c r="R84" s="11">
        <v>166.7450906061917</v>
      </c>
    </row>
    <row r="85" spans="1:18">
      <c r="A85" s="89"/>
      <c r="B85" s="88"/>
      <c r="D85" s="133" t="s">
        <v>9</v>
      </c>
      <c r="E85" s="147"/>
      <c r="F85" s="144">
        <f>'Additional inputs'!G53*('Additional inputs'!H53+'Additional inputs'!I53/Calculator!$G$7+'Additional inputs'!J53*Calculator!$G$7^2+'Additional inputs'!K53*Calculator!$D$7+'Additional inputs'!L53*Calculator!$D$7^2+'Additional inputs'!M53*'Additional inputs'!K15)*(1+'Additional inputs'!$J$39)</f>
        <v>237.03875701490927</v>
      </c>
      <c r="G85" s="11">
        <v>288.66587510371136</v>
      </c>
      <c r="H85" s="11">
        <v>269.99097157013472</v>
      </c>
      <c r="I85" s="11">
        <v>258.83057478143166</v>
      </c>
      <c r="J85" s="11">
        <v>251.43671164254917</v>
      </c>
      <c r="K85" s="11">
        <v>242.3266266716671</v>
      </c>
      <c r="L85" s="11">
        <v>237.03875701490927</v>
      </c>
      <c r="M85" s="11">
        <v>233.69911612474931</v>
      </c>
      <c r="N85" s="11">
        <v>231.50456690939012</v>
      </c>
      <c r="O85" s="11">
        <v>230.05354082293326</v>
      </c>
      <c r="P85" s="11">
        <v>229.12294422876843</v>
      </c>
      <c r="Q85" s="11">
        <v>228.57892094492934</v>
      </c>
      <c r="R85" s="11">
        <v>228.33628976471044</v>
      </c>
    </row>
    <row r="86" spans="1:18">
      <c r="A86" s="89"/>
      <c r="B86" s="88"/>
      <c r="D86" s="133" t="s">
        <v>10</v>
      </c>
      <c r="E86" s="147"/>
      <c r="F86" s="144">
        <f>'Additional inputs'!G54*('Additional inputs'!H54+'Additional inputs'!I54/Calculator!$G$7+'Additional inputs'!J54*Calculator!$G$7^2+'Additional inputs'!K54*Calculator!$D$7+'Additional inputs'!L54*Calculator!$D$7^2+'Additional inputs'!M54*'Additional inputs'!K16)*(1+'Additional inputs'!$J$39)</f>
        <v>269.96343980666063</v>
      </c>
      <c r="G86" s="11">
        <v>320.98477004738589</v>
      </c>
      <c r="H86" s="11">
        <v>302.32463682070653</v>
      </c>
      <c r="I86" s="11">
        <v>291.21104715656293</v>
      </c>
      <c r="J86" s="11">
        <v>283.88791474699212</v>
      </c>
      <c r="K86" s="11">
        <v>274.97889222962499</v>
      </c>
      <c r="L86" s="11">
        <v>269.96343980666063</v>
      </c>
      <c r="M86" s="11">
        <v>266.96351432411774</v>
      </c>
      <c r="N86" s="11">
        <v>265.17424014457566</v>
      </c>
      <c r="O86" s="11">
        <v>264.19317944932408</v>
      </c>
      <c r="P86" s="11">
        <v>263.79675567241293</v>
      </c>
      <c r="Q86" s="11">
        <v>263.85082287427201</v>
      </c>
      <c r="R86" s="11">
        <v>264.27001545699301</v>
      </c>
    </row>
    <row r="87" spans="1:18">
      <c r="A87" s="89"/>
      <c r="B87" s="88"/>
      <c r="D87" s="133" t="s">
        <v>11</v>
      </c>
      <c r="E87" s="147"/>
      <c r="F87" s="144">
        <f>'Additional inputs'!G55*('Additional inputs'!H55+'Additional inputs'!I55/Calculator!$G$7+'Additional inputs'!J55*Calculator!$G$7^2+'Additional inputs'!K55*Calculator!$D$7+'Additional inputs'!L55*Calculator!$D$7^2+'Additional inputs'!M55*'Additional inputs'!K17)*(1+'Additional inputs'!$J$39)</f>
        <v>294.6402345949586</v>
      </c>
      <c r="G87" s="11">
        <v>347.40631701777858</v>
      </c>
      <c r="H87" s="11">
        <v>328.19001185859111</v>
      </c>
      <c r="I87" s="11">
        <v>316.73011595789569</v>
      </c>
      <c r="J87" s="11">
        <v>309.1629845187</v>
      </c>
      <c r="K87" s="11">
        <v>299.91154782931881</v>
      </c>
      <c r="L87" s="11">
        <v>294.6402345949586</v>
      </c>
      <c r="M87" s="11">
        <v>291.41722241712318</v>
      </c>
      <c r="N87" s="11">
        <v>289.41458741074285</v>
      </c>
      <c r="O87" s="11">
        <v>288.21836763328258</v>
      </c>
      <c r="P87" s="11">
        <v>287.59858422777859</v>
      </c>
      <c r="Q87" s="11">
        <v>287.41724988005251</v>
      </c>
      <c r="R87" s="11">
        <v>287.58655448108181</v>
      </c>
    </row>
    <row r="88" spans="1:18">
      <c r="A88" s="89"/>
      <c r="B88" s="88"/>
      <c r="D88" s="133" t="s">
        <v>12</v>
      </c>
      <c r="E88" s="147"/>
      <c r="F88" s="144">
        <f>'Additional inputs'!G56*('Additional inputs'!H56+'Additional inputs'!I56/Calculator!$G$7+'Additional inputs'!J56*Calculator!$G$7^2+'Additional inputs'!K56*Calculator!$D$7+'Additional inputs'!L56*Calculator!$D$7^2+'Additional inputs'!M56*'Additional inputs'!K18)*(1+'Additional inputs'!$J$39)</f>
        <v>357.80770339169334</v>
      </c>
      <c r="G88" s="11">
        <v>410.43083240718238</v>
      </c>
      <c r="H88" s="11">
        <v>390.35773174513633</v>
      </c>
      <c r="I88" s="11">
        <v>378.55464800930298</v>
      </c>
      <c r="J88" s="11">
        <v>370.93673454103316</v>
      </c>
      <c r="K88" s="11">
        <v>362.12914841921014</v>
      </c>
      <c r="L88" s="11">
        <v>357.80770339169334</v>
      </c>
      <c r="M88" s="11">
        <v>355.92997612915849</v>
      </c>
      <c r="N88" s="11">
        <v>355.62064234760902</v>
      </c>
      <c r="O88" s="11">
        <v>356.44203990504695</v>
      </c>
      <c r="P88" s="11">
        <v>358.15102316702882</v>
      </c>
      <c r="Q88" s="11">
        <v>360.60170475288857</v>
      </c>
      <c r="R88" s="11">
        <v>363.70124723856611</v>
      </c>
    </row>
    <row r="89" spans="1:18">
      <c r="A89" s="89"/>
      <c r="B89" s="88"/>
      <c r="D89" s="133" t="s">
        <v>14</v>
      </c>
      <c r="E89" s="147"/>
      <c r="F89" s="144">
        <f>'Additional inputs'!G57*('Additional inputs'!H57+'Additional inputs'!I57/Calculator!$G$7+'Additional inputs'!J57*Calculator!$G$7^2+'Additional inputs'!K57*Calculator!$D$7+'Additional inputs'!L57*Calculator!$D$7^2+'Additional inputs'!M57*'Additional inputs'!K19)*(1+'Additional inputs'!$J$39)</f>
        <v>390.48999742261799</v>
      </c>
      <c r="G89" s="11">
        <v>451.62718024569102</v>
      </c>
      <c r="H89" s="11">
        <v>428.88008945229069</v>
      </c>
      <c r="I89" s="11">
        <v>415.40357759127215</v>
      </c>
      <c r="J89" s="11">
        <v>406.59813490790754</v>
      </c>
      <c r="K89" s="11">
        <v>396.10119244204731</v>
      </c>
      <c r="L89" s="11">
        <v>390.48999742261799</v>
      </c>
      <c r="M89" s="11">
        <v>387.46479497225567</v>
      </c>
      <c r="N89" s="11">
        <v>386.03997585780422</v>
      </c>
      <c r="O89" s="11">
        <v>385.72273546268559</v>
      </c>
      <c r="P89" s="11">
        <v>386.23929344435646</v>
      </c>
      <c r="Q89" s="11">
        <v>387.42538159729094</v>
      </c>
      <c r="R89" s="11">
        <v>389.17646560888147</v>
      </c>
    </row>
    <row r="90" spans="1:18">
      <c r="A90" s="89"/>
      <c r="B90" s="88"/>
      <c r="D90" s="133" t="s">
        <v>15</v>
      </c>
      <c r="E90" s="147"/>
      <c r="F90" s="144">
        <f>'Additional inputs'!G58*('Additional inputs'!H58+'Additional inputs'!I58/Calculator!$G$7+'Additional inputs'!J58*Calculator!$G$7^2+'Additional inputs'!K58*Calculator!$D$7+'Additional inputs'!L58*Calculator!$D$7^2+'Additional inputs'!M58*'Additional inputs'!K20)*(1+'Additional inputs'!$J$39)</f>
        <v>396.01558228988534</v>
      </c>
      <c r="G90" s="11">
        <v>454.71335730406201</v>
      </c>
      <c r="H90" s="11">
        <v>432.55209096807329</v>
      </c>
      <c r="I90" s="11">
        <v>419.4807947447382</v>
      </c>
      <c r="J90" s="11">
        <v>411.00145515653389</v>
      </c>
      <c r="K90" s="11">
        <v>401.07162566923284</v>
      </c>
      <c r="L90" s="11">
        <v>396.01558228988534</v>
      </c>
      <c r="M90" s="11">
        <v>393.58431827972981</v>
      </c>
      <c r="N90" s="11">
        <v>392.8139736078686</v>
      </c>
      <c r="O90" s="11">
        <v>393.22261825885266</v>
      </c>
      <c r="P90" s="11">
        <v>394.5425133352104</v>
      </c>
      <c r="Q90" s="11">
        <v>396.61301549845882</v>
      </c>
      <c r="R90" s="11">
        <v>399.33189716956349</v>
      </c>
    </row>
    <row r="91" spans="1:18">
      <c r="A91" s="89"/>
      <c r="B91" s="88"/>
      <c r="D91" s="133" t="s">
        <v>16</v>
      </c>
      <c r="E91" s="147"/>
      <c r="F91" s="144">
        <f>'Additional inputs'!G59*('Additional inputs'!H59+'Additional inputs'!I59/Calculator!$G$7+'Additional inputs'!J59*Calculator!$G$7^2+'Additional inputs'!K59*Calculator!$D$7+'Additional inputs'!L59*Calculator!$D$7^2+'Additional inputs'!M59*'Additional inputs'!K21)*(1+'Additional inputs'!$J$39)</f>
        <v>495.58149170266734</v>
      </c>
      <c r="G91" s="11">
        <v>568.62673126043001</v>
      </c>
      <c r="H91" s="11">
        <v>539.64305306916822</v>
      </c>
      <c r="I91" s="11">
        <v>522.79799300333696</v>
      </c>
      <c r="J91" s="11">
        <v>512.13581426041378</v>
      </c>
      <c r="K91" s="11">
        <v>500.42649553950793</v>
      </c>
      <c r="L91" s="11">
        <v>495.58149170266734</v>
      </c>
      <c r="M91" s="11">
        <v>494.62293434863074</v>
      </c>
      <c r="N91" s="11">
        <v>496.27459416257187</v>
      </c>
      <c r="O91" s="11">
        <v>499.89835648707776</v>
      </c>
      <c r="P91" s="11">
        <v>505.1397131791411</v>
      </c>
      <c r="Q91" s="11">
        <v>511.78595935295743</v>
      </c>
      <c r="R91" s="11">
        <v>519.70173735392405</v>
      </c>
    </row>
    <row r="92" spans="1:18">
      <c r="A92" s="89"/>
      <c r="B92" s="88"/>
      <c r="D92" s="133" t="s">
        <v>17</v>
      </c>
      <c r="E92" s="147"/>
      <c r="F92" s="144">
        <f>'Additional inputs'!G60*('Additional inputs'!H60+'Additional inputs'!I60/Calculator!$G$7+'Additional inputs'!J60*Calculator!$G$7^2+'Additional inputs'!K60*Calculator!$D$7+'Additional inputs'!L60*Calculator!$D$7^2+'Additional inputs'!M60*'Additional inputs'!K22)*(1+'Additional inputs'!$J$39)</f>
        <v>544.72165117379359</v>
      </c>
      <c r="G92" s="11">
        <v>632.33958744440042</v>
      </c>
      <c r="H92" s="11">
        <v>598.08060283229804</v>
      </c>
      <c r="I92" s="11">
        <v>578.08368067971082</v>
      </c>
      <c r="J92" s="11">
        <v>565.33413738493834</v>
      </c>
      <c r="K92" s="11">
        <v>551.05516196628719</v>
      </c>
      <c r="L92" s="11">
        <v>544.72165117379359</v>
      </c>
      <c r="M92" s="11">
        <v>542.82626320660745</v>
      </c>
      <c r="N92" s="11">
        <v>543.86585157864988</v>
      </c>
      <c r="O92" s="11">
        <v>547.08884304688183</v>
      </c>
      <c r="P92" s="11">
        <v>552.07769692072566</v>
      </c>
      <c r="Q92" s="11">
        <v>558.58188878583496</v>
      </c>
      <c r="R92" s="11">
        <v>566.44199401489857</v>
      </c>
    </row>
    <row r="93" spans="1:18">
      <c r="A93" s="89"/>
      <c r="B93" s="88"/>
      <c r="D93" s="133" t="s">
        <v>18</v>
      </c>
      <c r="E93" s="147"/>
      <c r="F93" s="144">
        <f>'Additional inputs'!G61*('Additional inputs'!H61+'Additional inputs'!I61/Calculator!$G$7+'Additional inputs'!J61*Calculator!$G$7^2+'Additional inputs'!K61*Calculator!$D$7+'Additional inputs'!L61*Calculator!$D$7^2+'Additional inputs'!M61*'Additional inputs'!K23)*(1+'Additional inputs'!$J$39)</f>
        <v>605.35642182938886</v>
      </c>
      <c r="G93" s="11">
        <v>672.09224478849626</v>
      </c>
      <c r="H93" s="11">
        <v>639.25350611610793</v>
      </c>
      <c r="I93" s="11">
        <v>621.24523066552058</v>
      </c>
      <c r="J93" s="11">
        <v>611.00530510767658</v>
      </c>
      <c r="K93" s="11">
        <v>603.23733367663249</v>
      </c>
      <c r="L93" s="11">
        <v>605.35642182938886</v>
      </c>
      <c r="M93" s="11">
        <v>613.83151290141689</v>
      </c>
      <c r="N93" s="11">
        <v>627.14929689363282</v>
      </c>
      <c r="O93" s="11">
        <v>644.55311880649481</v>
      </c>
      <c r="P93" s="11">
        <v>665.62261475136847</v>
      </c>
      <c r="Q93" s="11">
        <v>690.10556639507297</v>
      </c>
      <c r="R93" s="11">
        <v>717.84147116194822</v>
      </c>
    </row>
    <row r="94" spans="1:18">
      <c r="A94" s="89"/>
      <c r="B94" s="88"/>
      <c r="D94" s="133" t="s">
        <v>19</v>
      </c>
      <c r="E94" s="147"/>
      <c r="F94" s="144">
        <f>'Additional inputs'!G62*('Additional inputs'!H62+'Additional inputs'!I62/Calculator!$G$7+'Additional inputs'!J62*Calculator!$G$7^2+'Additional inputs'!K62*Calculator!$D$7+'Additional inputs'!L62*Calculator!$D$7^2+'Additional inputs'!M62*'Additional inputs'!K24)*(1+'Additional inputs'!$J$39)</f>
        <v>717.01601358153562</v>
      </c>
      <c r="G94" s="11">
        <v>776.43167465329952</v>
      </c>
      <c r="H94" s="11">
        <v>739.61838352547306</v>
      </c>
      <c r="I94" s="11">
        <v>720.46563937557721</v>
      </c>
      <c r="J94" s="11">
        <v>710.75467507439669</v>
      </c>
      <c r="K94" s="11">
        <v>707.32993532435853</v>
      </c>
      <c r="L94" s="11">
        <v>717.01601358153562</v>
      </c>
      <c r="M94" s="11">
        <v>735.70352628132025</v>
      </c>
      <c r="N94" s="11">
        <v>761.63130903888077</v>
      </c>
      <c r="O94" s="11">
        <v>793.91877966180118</v>
      </c>
      <c r="P94" s="11">
        <v>832.07672582096154</v>
      </c>
      <c r="Q94" s="11">
        <v>875.81162011888989</v>
      </c>
      <c r="R94" s="11">
        <v>924.93667239355841</v>
      </c>
    </row>
    <row r="95" spans="1:18">
      <c r="A95" s="89"/>
      <c r="B95" s="88"/>
      <c r="D95" s="133" t="s">
        <v>20</v>
      </c>
      <c r="E95" s="147"/>
      <c r="F95" s="144">
        <f>'Additional inputs'!G63*('Additional inputs'!H63+'Additional inputs'!I63/Calculator!$G$7+'Additional inputs'!J63*Calculator!$G$7^2+'Additional inputs'!K63*Calculator!$D$7+'Additional inputs'!L63*Calculator!$D$7^2+'Additional inputs'!M63*'Additional inputs'!K25)*(1+'Additional inputs'!$J$39)</f>
        <v>738.98182944190864</v>
      </c>
      <c r="G95" s="11">
        <v>792.72920447618617</v>
      </c>
      <c r="H95" s="11">
        <v>756.61761579899053</v>
      </c>
      <c r="I95" s="11">
        <v>738.13486919851312</v>
      </c>
      <c r="J95" s="11">
        <v>729.12992001261171</v>
      </c>
      <c r="K95" s="11">
        <v>727.32684689132225</v>
      </c>
      <c r="L95" s="11">
        <v>738.98182944190864</v>
      </c>
      <c r="M95" s="11">
        <v>760.01934533329938</v>
      </c>
      <c r="N95" s="11">
        <v>788.69274213789276</v>
      </c>
      <c r="O95" s="11">
        <v>824.12869364188805</v>
      </c>
      <c r="P95" s="11">
        <v>865.8420186153952</v>
      </c>
      <c r="Q95" s="11">
        <v>913.54160832048126</v>
      </c>
      <c r="R95" s="11">
        <v>967.04221174209681</v>
      </c>
    </row>
    <row r="96" spans="1:18">
      <c r="A96" s="89"/>
      <c r="B96" s="88"/>
      <c r="D96" s="135" t="s">
        <v>151</v>
      </c>
      <c r="E96" s="145"/>
      <c r="F96" s="146">
        <f>SUMPRODUCT($F$17:$F$19,F$76:F$78)/SUM($F$17:$F$19)</f>
        <v>41.602396254749245</v>
      </c>
      <c r="G96" s="73">
        <f t="shared" ref="G96:R96" si="3">SUMPRODUCT($H$17:$H$19,G$76:G$78)/SUM($H$17:$H$19)</f>
        <v>57.00168878157664</v>
      </c>
      <c r="H96" s="73">
        <f t="shared" si="3"/>
        <v>51.331208585525886</v>
      </c>
      <c r="I96" s="73">
        <f t="shared" si="3"/>
        <v>47.961058418961969</v>
      </c>
      <c r="J96" s="73">
        <f t="shared" si="3"/>
        <v>45.74776867361367</v>
      </c>
      <c r="K96" s="73">
        <f t="shared" si="3"/>
        <v>43.076566034157061</v>
      </c>
      <c r="L96" s="73">
        <f t="shared" si="3"/>
        <v>41.602396254749245</v>
      </c>
      <c r="M96" s="73">
        <f t="shared" si="3"/>
        <v>40.753524531254591</v>
      </c>
      <c r="N96" s="73">
        <f t="shared" si="3"/>
        <v>40.28492166190069</v>
      </c>
      <c r="O96" s="73">
        <f t="shared" si="3"/>
        <v>40.074073045801356</v>
      </c>
      <c r="P96" s="73">
        <f t="shared" si="3"/>
        <v>40.052915015797581</v>
      </c>
      <c r="Q96" s="73">
        <f t="shared" si="3"/>
        <v>40.180609371593974</v>
      </c>
      <c r="R96" s="73">
        <f t="shared" si="3"/>
        <v>40.431168167547987</v>
      </c>
    </row>
    <row r="97" spans="1:18">
      <c r="A97" s="89"/>
      <c r="B97" s="88"/>
      <c r="D97" s="135" t="s">
        <v>152</v>
      </c>
      <c r="E97" s="145"/>
      <c r="F97" s="146">
        <f>SUMPRODUCT($F$20:$F$21,F$79:F$80)/SUM($F$20:$F$21)</f>
        <v>52.032405971829142</v>
      </c>
      <c r="G97" s="73">
        <f t="shared" ref="G97:R97" si="4">SUMPRODUCT($H$20:$H$21,G$79:G$80)/SUM($H$20:$H$21)</f>
        <v>64.202180295254266</v>
      </c>
      <c r="H97" s="73">
        <f t="shared" si="4"/>
        <v>59.856144346152213</v>
      </c>
      <c r="I97" s="73">
        <f t="shared" si="4"/>
        <v>57.248464042846336</v>
      </c>
      <c r="J97" s="73">
        <f t="shared" si="4"/>
        <v>55.509949326220877</v>
      </c>
      <c r="K97" s="73">
        <f t="shared" si="4"/>
        <v>53.336631564337701</v>
      </c>
      <c r="L97" s="73">
        <f t="shared" si="4"/>
        <v>52.032405971829142</v>
      </c>
      <c r="M97" s="73">
        <f t="shared" si="4"/>
        <v>51.162677519137318</v>
      </c>
      <c r="N97" s="73">
        <f t="shared" si="4"/>
        <v>50.541191193594571</v>
      </c>
      <c r="O97" s="73">
        <f t="shared" si="4"/>
        <v>50.074819488867114</v>
      </c>
      <c r="P97" s="73">
        <f t="shared" si="4"/>
        <v>49.711824901436117</v>
      </c>
      <c r="Q97" s="73">
        <f t="shared" si="4"/>
        <v>49.421164929190319</v>
      </c>
      <c r="R97" s="73">
        <f t="shared" si="4"/>
        <v>49.183085252604357</v>
      </c>
    </row>
    <row r="98" spans="1:18">
      <c r="A98" s="89"/>
      <c r="B98" s="88"/>
      <c r="D98" s="135" t="s">
        <v>153</v>
      </c>
      <c r="E98" s="145"/>
      <c r="F98" s="146">
        <f>SUMPRODUCT($F$22:$F$36,F$81:F$95)/SUM($F$22:$F$36)</f>
        <v>256.8211133648615</v>
      </c>
      <c r="G98" s="73">
        <f t="shared" ref="G98:R98" si="5">SUMPRODUCT($H$22:$H$36,G$81:G$95)/SUM($H$22:$H$36)</f>
        <v>302.52641009459796</v>
      </c>
      <c r="H98" s="73">
        <f t="shared" si="5"/>
        <v>285.77015432949133</v>
      </c>
      <c r="I98" s="73">
        <f t="shared" si="5"/>
        <v>275.79789461244849</v>
      </c>
      <c r="J98" s="73">
        <f t="shared" si="5"/>
        <v>269.23461078235835</v>
      </c>
      <c r="K98" s="73">
        <f t="shared" si="5"/>
        <v>261.27244054137037</v>
      </c>
      <c r="L98" s="73">
        <f t="shared" si="5"/>
        <v>256.8211133648615</v>
      </c>
      <c r="M98" s="73">
        <f t="shared" si="5"/>
        <v>254.19311917227634</v>
      </c>
      <c r="N98" s="73">
        <f t="shared" si="5"/>
        <v>252.66523935766259</v>
      </c>
      <c r="O98" s="73">
        <f t="shared" si="5"/>
        <v>251.87586461804386</v>
      </c>
      <c r="P98" s="73">
        <f t="shared" si="5"/>
        <v>251.62410089621147</v>
      </c>
      <c r="Q98" s="73">
        <f t="shared" si="5"/>
        <v>251.78941175783996</v>
      </c>
      <c r="R98" s="73">
        <f t="shared" si="5"/>
        <v>252.29509219926757</v>
      </c>
    </row>
    <row r="99" spans="1:18">
      <c r="A99" s="89"/>
      <c r="B99" s="88"/>
      <c r="D99" s="135" t="s">
        <v>154</v>
      </c>
      <c r="E99" s="145"/>
      <c r="F99" s="146">
        <f>SUMPRODUCT($F$17:$F$36,F$76:F$95)/SUM($F$17:$F$36)</f>
        <v>70.730982390252763</v>
      </c>
      <c r="G99" s="73">
        <f t="shared" ref="G99:R99" si="6">SUMPRODUCT($H$17:$H$36,G$76:G$95)/SUM($H$17:$H$36)</f>
        <v>89.487443954471118</v>
      </c>
      <c r="H99" s="73">
        <f t="shared" si="6"/>
        <v>82.611608086689699</v>
      </c>
      <c r="I99" s="73">
        <f t="shared" si="6"/>
        <v>78.519442960344819</v>
      </c>
      <c r="J99" s="73">
        <f t="shared" si="6"/>
        <v>75.826058286869085</v>
      </c>
      <c r="K99" s="73">
        <f t="shared" si="6"/>
        <v>72.558294865673872</v>
      </c>
      <c r="L99" s="73">
        <f t="shared" si="6"/>
        <v>70.730982390252763</v>
      </c>
      <c r="M99" s="73">
        <f t="shared" si="6"/>
        <v>69.651675716322103</v>
      </c>
      <c r="N99" s="73">
        <f t="shared" si="6"/>
        <v>69.023612639188855</v>
      </c>
      <c r="O99" s="73">
        <f t="shared" si="6"/>
        <v>68.69841205650647</v>
      </c>
      <c r="P99" s="73">
        <f t="shared" si="6"/>
        <v>68.593640022526884</v>
      </c>
      <c r="Q99" s="73">
        <f t="shared" si="6"/>
        <v>68.659836169801324</v>
      </c>
      <c r="R99" s="73">
        <f t="shared" si="6"/>
        <v>68.865525719044086</v>
      </c>
    </row>
    <row r="100" spans="1:18">
      <c r="A100" s="89"/>
      <c r="B100" s="88"/>
      <c r="D100" s="69"/>
      <c r="E100" s="69"/>
      <c r="F100" s="69"/>
      <c r="G100" s="120"/>
      <c r="H100" s="69"/>
      <c r="I100" s="69"/>
      <c r="J100" s="69"/>
      <c r="K100" s="69"/>
      <c r="L100" s="69"/>
      <c r="M100" s="69"/>
      <c r="N100" s="69"/>
      <c r="O100" s="69"/>
      <c r="P100" s="69"/>
      <c r="Q100" s="69"/>
      <c r="R100" s="69"/>
    </row>
    <row r="101" spans="1:18" ht="17.399999999999999">
      <c r="A101" s="89"/>
      <c r="B101" s="88"/>
      <c r="D101" s="108" t="s">
        <v>111</v>
      </c>
      <c r="E101" s="69"/>
      <c r="F101" s="69"/>
      <c r="G101" s="69"/>
      <c r="H101" s="69"/>
      <c r="I101" s="69"/>
      <c r="J101" s="69"/>
      <c r="K101" s="69"/>
      <c r="L101" s="69"/>
      <c r="M101" s="69"/>
      <c r="N101" s="69"/>
      <c r="O101" s="69"/>
      <c r="P101" s="69"/>
      <c r="Q101" s="69"/>
      <c r="R101" s="69"/>
    </row>
    <row r="102" spans="1:18" ht="15">
      <c r="A102" s="89"/>
      <c r="B102" s="88"/>
      <c r="D102" s="177" t="str">
        <f>"Fuel consumption values in litres per 100km for IRI of "&amp;$D$7&amp;", Gradient of "&amp;$E$7&amp;", and Curvature of "&amp;$F$7&amp;" in $"&amp;$D$13&amp;" prices, by speed and vehicle class, for payloads of "&amp;$D$10&amp;":"</f>
        <v>Fuel consumption values in litres per 100km for IRI of 5, Gradient of 8, and Curvature of 20 in $2021-22 prices, by speed and vehicle class, for payloads of 0.75:</v>
      </c>
      <c r="E102" s="177"/>
      <c r="F102" s="177"/>
      <c r="G102" s="177"/>
      <c r="H102" s="177"/>
      <c r="I102" s="177"/>
      <c r="J102" s="177"/>
      <c r="K102" s="177"/>
      <c r="L102" s="177"/>
      <c r="M102" s="177"/>
      <c r="N102" s="177"/>
      <c r="O102" s="177"/>
      <c r="P102" s="177"/>
      <c r="Q102" s="177"/>
      <c r="R102" s="69"/>
    </row>
    <row r="103" spans="1:18" ht="17.399999999999999">
      <c r="A103" s="89"/>
      <c r="B103" s="88"/>
      <c r="D103" s="69"/>
      <c r="E103" s="69"/>
      <c r="F103" s="121"/>
      <c r="G103" s="154" t="s">
        <v>69</v>
      </c>
      <c r="H103" s="69"/>
      <c r="I103" s="69"/>
      <c r="J103" s="69"/>
      <c r="K103" s="69"/>
      <c r="L103" s="69"/>
      <c r="M103" s="69"/>
      <c r="N103" s="69"/>
      <c r="O103" s="69"/>
      <c r="P103" s="69"/>
      <c r="Q103" s="69"/>
      <c r="R103" s="69"/>
    </row>
    <row r="104" spans="1:18">
      <c r="A104" s="89"/>
      <c r="B104" s="88"/>
      <c r="D104" s="140" t="s">
        <v>90</v>
      </c>
      <c r="E104" s="141"/>
      <c r="F104" s="142"/>
      <c r="G104" s="153">
        <v>15</v>
      </c>
      <c r="H104" s="153">
        <v>20</v>
      </c>
      <c r="I104" s="153">
        <v>25</v>
      </c>
      <c r="J104" s="153">
        <v>30</v>
      </c>
      <c r="K104" s="153">
        <v>40</v>
      </c>
      <c r="L104" s="153">
        <v>50</v>
      </c>
      <c r="M104" s="153">
        <v>60</v>
      </c>
      <c r="N104" s="153">
        <v>70</v>
      </c>
      <c r="O104" s="153">
        <v>80</v>
      </c>
      <c r="P104" s="153">
        <v>90</v>
      </c>
      <c r="Q104" s="153">
        <v>100</v>
      </c>
      <c r="R104" s="153">
        <v>110</v>
      </c>
    </row>
    <row r="105" spans="1:18">
      <c r="A105" s="89"/>
      <c r="B105" s="88"/>
      <c r="D105" s="133" t="s">
        <v>0</v>
      </c>
      <c r="E105" s="143"/>
      <c r="F105" s="144">
        <f>'Additional inputs'!G72*('Additional inputs'!H72+'Additional inputs'!I72/Calculator!$G$7+'Additional inputs'!J72*Calculator!$G$7^2+'Additional inputs'!K72*Calculator!$D$7+'Additional inputs'!L72*'Additional inputs'!$K6)*(1+'Additional inputs'!$H$39)</f>
        <v>9.5977324692467985</v>
      </c>
      <c r="G105" s="11">
        <f t="dataTable" ref="G105:R124" dt2D="0" dtr="1" r1="G7" ca="1"/>
        <v>13.177907660060244</v>
      </c>
      <c r="H105" s="11">
        <v>11.644628586113248</v>
      </c>
      <c r="I105" s="11">
        <v>10.772594332752654</v>
      </c>
      <c r="J105" s="11">
        <v>10.241168571145181</v>
      </c>
      <c r="K105" s="11">
        <v>9.7191880299396765</v>
      </c>
      <c r="L105" s="11">
        <v>9.5977324692467985</v>
      </c>
      <c r="M105" s="11">
        <v>9.7164837246499101</v>
      </c>
      <c r="N105" s="11">
        <v>10.006734011399018</v>
      </c>
      <c r="O105" s="11">
        <v>10.434129437119129</v>
      </c>
      <c r="P105" s="11">
        <v>10.979584506046354</v>
      </c>
      <c r="Q105" s="11">
        <v>11.631647920722367</v>
      </c>
      <c r="R105" s="163">
        <v>12.383032491855499</v>
      </c>
    </row>
    <row r="106" spans="1:18">
      <c r="A106" s="89"/>
      <c r="B106" s="88"/>
      <c r="D106" s="133" t="s">
        <v>1</v>
      </c>
      <c r="E106" s="143"/>
      <c r="F106" s="144">
        <f>'Additional inputs'!G73*('Additional inputs'!H73+'Additional inputs'!I73/Calculator!$G$7+'Additional inputs'!J73*Calculator!$G$7^2+'Additional inputs'!K73*Calculator!$D$7+'Additional inputs'!L73*'Additional inputs'!$K7)*(1+'Additional inputs'!$H$39)</f>
        <v>11.702627303543858</v>
      </c>
      <c r="G106" s="11">
        <v>17.021519306329484</v>
      </c>
      <c r="H106" s="11">
        <v>14.881278103647404</v>
      </c>
      <c r="I106" s="11">
        <v>13.642429742691879</v>
      </c>
      <c r="J106" s="11">
        <v>12.863714544402502</v>
      </c>
      <c r="K106" s="11">
        <v>12.024794117231529</v>
      </c>
      <c r="L106" s="11">
        <v>11.702627303543858</v>
      </c>
      <c r="M106" s="11">
        <v>11.676584263809278</v>
      </c>
      <c r="N106" s="11">
        <v>11.852109352514839</v>
      </c>
      <c r="O106" s="11">
        <v>12.18192474690407</v>
      </c>
      <c r="P106" s="11">
        <v>12.639764989890041</v>
      </c>
      <c r="Q106" s="11">
        <v>13.209870807220593</v>
      </c>
      <c r="R106" s="163">
        <v>13.88221356982617</v>
      </c>
    </row>
    <row r="107" spans="1:18">
      <c r="A107" s="89"/>
      <c r="B107" s="88"/>
      <c r="D107" s="133" t="s">
        <v>2</v>
      </c>
      <c r="E107" s="143"/>
      <c r="F107" s="144">
        <f>'Additional inputs'!G74*('Additional inputs'!H74+'Additional inputs'!I74/Calculator!$G$7+'Additional inputs'!J74*Calculator!$G$7^2+'Additional inputs'!K74*Calculator!$D$7+'Additional inputs'!L74*'Additional inputs'!$K8)*(1+'Additional inputs'!$H$39)</f>
        <v>14.222653319100816</v>
      </c>
      <c r="G107" s="11">
        <v>21.601377642619305</v>
      </c>
      <c r="H107" s="11">
        <v>18.698536150565271</v>
      </c>
      <c r="I107" s="11">
        <v>17.007199783348504</v>
      </c>
      <c r="J107" s="11">
        <v>15.932109421886961</v>
      </c>
      <c r="K107" s="11">
        <v>14.737778037606496</v>
      </c>
      <c r="L107" s="11">
        <v>14.222653319100816</v>
      </c>
      <c r="M107" s="11">
        <v>14.089105706828908</v>
      </c>
      <c r="N107" s="11">
        <v>14.20957967527319</v>
      </c>
      <c r="O107" s="11">
        <v>14.520297461674872</v>
      </c>
      <c r="P107" s="11">
        <v>14.985826975612403</v>
      </c>
      <c r="Q107" s="11">
        <v>15.584908962832854</v>
      </c>
      <c r="R107" s="163">
        <v>16.304014806993457</v>
      </c>
    </row>
    <row r="108" spans="1:18">
      <c r="A108" s="89"/>
      <c r="B108" s="88"/>
      <c r="D108" s="133" t="s">
        <v>3</v>
      </c>
      <c r="E108" s="143"/>
      <c r="F108" s="144">
        <f>'Additional inputs'!G75*('Additional inputs'!H75+'Additional inputs'!I75/Calculator!$G$7+'Additional inputs'!J75*Calculator!$G$7^2+'Additional inputs'!K75*Calculator!$D$7+'Additional inputs'!L75*'Additional inputs'!$K9)*(1+'Additional inputs'!$J$39)</f>
        <v>14.943289182268547</v>
      </c>
      <c r="G108" s="11">
        <v>20.749879610620781</v>
      </c>
      <c r="H108" s="11">
        <v>18.6278421203939</v>
      </c>
      <c r="I108" s="11">
        <v>17.363702956965881</v>
      </c>
      <c r="J108" s="11">
        <v>16.530405317501469</v>
      </c>
      <c r="K108" s="11">
        <v>15.515749406210636</v>
      </c>
      <c r="L108" s="11">
        <v>14.943289182268547</v>
      </c>
      <c r="M108" s="11">
        <v>14.599496244257589</v>
      </c>
      <c r="N108" s="11">
        <v>14.392858420141623</v>
      </c>
      <c r="O108" s="11">
        <v>14.277619623902604</v>
      </c>
      <c r="P108" s="11">
        <v>14.228359807752712</v>
      </c>
      <c r="Q108" s="11">
        <v>14.229826943019258</v>
      </c>
      <c r="R108" s="163">
        <v>14.272315193274174</v>
      </c>
    </row>
    <row r="109" spans="1:18">
      <c r="A109" s="89"/>
      <c r="B109" s="88"/>
      <c r="D109" s="133" t="s">
        <v>4</v>
      </c>
      <c r="E109" s="143"/>
      <c r="F109" s="144">
        <f>'Additional inputs'!G76*('Additional inputs'!H76+'Additional inputs'!I76/Calculator!$G$7+'Additional inputs'!J76*Calculator!$G$7^2+'Additional inputs'!K76*Calculator!$D$7+'Additional inputs'!L76*'Additional inputs'!$K10)*(1+'Additional inputs'!$J$39)</f>
        <v>16.147574355193981</v>
      </c>
      <c r="G109" s="11">
        <v>23.029634536688029</v>
      </c>
      <c r="H109" s="11">
        <v>20.408733156623011</v>
      </c>
      <c r="I109" s="11">
        <v>18.866878962714289</v>
      </c>
      <c r="J109" s="11">
        <v>17.870941410660851</v>
      </c>
      <c r="K109" s="11">
        <v>16.717120415668344</v>
      </c>
      <c r="L109" s="11">
        <v>16.147574355193981</v>
      </c>
      <c r="M109" s="11">
        <v>15.895737957087263</v>
      </c>
      <c r="N109" s="11">
        <v>15.847368961855121</v>
      </c>
      <c r="O109" s="11">
        <v>15.945346239751011</v>
      </c>
      <c r="P109" s="11">
        <v>16.157935829804636</v>
      </c>
      <c r="Q109" s="11">
        <v>16.466097355433828</v>
      </c>
      <c r="R109" s="163">
        <v>16.85771421335901</v>
      </c>
    </row>
    <row r="110" spans="1:18">
      <c r="A110" s="89"/>
      <c r="B110" s="88"/>
      <c r="D110" s="133" t="s">
        <v>5</v>
      </c>
      <c r="E110" s="143"/>
      <c r="F110" s="144">
        <f>'Additional inputs'!G77*('Additional inputs'!H77+'Additional inputs'!I77/Calculator!$G$7+'Additional inputs'!J77*Calculator!$G$7^2+'Additional inputs'!K77*Calculator!$D$7+'Additional inputs'!L77*'Additional inputs'!$K11)*(1+'Additional inputs'!$J$39)</f>
        <v>17.908595956490689</v>
      </c>
      <c r="G110" s="11">
        <v>22.81709704711513</v>
      </c>
      <c r="H110" s="11">
        <v>20.768114594018186</v>
      </c>
      <c r="I110" s="11">
        <v>19.594432670264023</v>
      </c>
      <c r="J110" s="11">
        <v>18.870006750369576</v>
      </c>
      <c r="K110" s="11">
        <v>18.12985613393527</v>
      </c>
      <c r="L110" s="11">
        <v>17.908595956490689</v>
      </c>
      <c r="M110" s="11">
        <v>17.993203955294302</v>
      </c>
      <c r="N110" s="11">
        <v>18.29238487488545</v>
      </c>
      <c r="O110" s="11">
        <v>18.760491087533811</v>
      </c>
      <c r="P110" s="11">
        <v>19.372162800055875</v>
      </c>
      <c r="Q110" s="11">
        <v>20.112184136541522</v>
      </c>
      <c r="R110" s="163">
        <v>20.970872266866145</v>
      </c>
    </row>
    <row r="111" spans="1:18">
      <c r="A111" s="89"/>
      <c r="B111" s="88"/>
      <c r="D111" s="133" t="s">
        <v>6</v>
      </c>
      <c r="E111" s="143"/>
      <c r="F111" s="144">
        <f>'Additional inputs'!G78*('Additional inputs'!H78+'Additional inputs'!I78/Calculator!$G$7+'Additional inputs'!J78*Calculator!$G$7^2+'Additional inputs'!K78*Calculator!$D$7+'Additional inputs'!L78*'Additional inputs'!$K12)*(1+'Additional inputs'!$J$39)</f>
        <v>39.879247055390607</v>
      </c>
      <c r="G111" s="11">
        <v>44.28873649800601</v>
      </c>
      <c r="H111" s="11">
        <v>42.250934325589782</v>
      </c>
      <c r="I111" s="11">
        <v>41.115403048368634</v>
      </c>
      <c r="J111" s="11">
        <v>40.449163474209286</v>
      </c>
      <c r="K111" s="11">
        <v>39.875090646876181</v>
      </c>
      <c r="L111" s="11">
        <v>39.879247055390607</v>
      </c>
      <c r="M111" s="11">
        <v>40.245143103685926</v>
      </c>
      <c r="N111" s="11">
        <v>40.879997536305048</v>
      </c>
      <c r="O111" s="11">
        <v>41.737419725519381</v>
      </c>
      <c r="P111" s="11">
        <v>42.791637100368618</v>
      </c>
      <c r="Q111" s="11">
        <v>44.027186118276589</v>
      </c>
      <c r="R111" s="163">
        <v>45.434226343058434</v>
      </c>
    </row>
    <row r="112" spans="1:18">
      <c r="A112" s="89"/>
      <c r="B112" s="88"/>
      <c r="D112" s="133" t="s">
        <v>7</v>
      </c>
      <c r="E112" s="143"/>
      <c r="F112" s="144">
        <f>'Additional inputs'!G79*('Additional inputs'!H79+'Additional inputs'!I79/Calculator!$G$7+'Additional inputs'!J79*Calculator!$G$7^2+'Additional inputs'!K79*Calculator!$D$7+'Additional inputs'!L79*'Additional inputs'!$K13)*(1+'Additional inputs'!$J$39)</f>
        <v>85.032987782856438</v>
      </c>
      <c r="G112" s="11">
        <v>100.23551509483744</v>
      </c>
      <c r="H112" s="11">
        <v>94.3391745949978</v>
      </c>
      <c r="I112" s="11">
        <v>90.889251040476864</v>
      </c>
      <c r="J112" s="11">
        <v>88.680844447236723</v>
      </c>
      <c r="K112" s="11">
        <v>86.181232168541896</v>
      </c>
      <c r="L112" s="11">
        <v>85.032987782856438</v>
      </c>
      <c r="M112" s="11">
        <v>84.633661298161357</v>
      </c>
      <c r="N112" s="11">
        <v>84.725059860734248</v>
      </c>
      <c r="O112" s="11">
        <v>85.178087043713944</v>
      </c>
      <c r="P112" s="11">
        <v>85.921022609955273</v>
      </c>
      <c r="Q112" s="11">
        <v>86.910834417171216</v>
      </c>
      <c r="R112" s="163">
        <v>88.120138374815411</v>
      </c>
    </row>
    <row r="113" spans="1:18">
      <c r="A113" s="89"/>
      <c r="B113" s="88"/>
      <c r="D113" s="133" t="s">
        <v>8</v>
      </c>
      <c r="E113" s="143"/>
      <c r="F113" s="144">
        <f>'Additional inputs'!G80*('Additional inputs'!H80+'Additional inputs'!I80/Calculator!$G$7+'Additional inputs'!J80*Calculator!$G$7^2+'Additional inputs'!K80*Calculator!$D$7+'Additional inputs'!L80*'Additional inputs'!$K14)*(1+'Additional inputs'!$J$39)</f>
        <v>78.405937137083143</v>
      </c>
      <c r="G113" s="11">
        <v>91.630904576728653</v>
      </c>
      <c r="H113" s="11">
        <v>87.274646831069546</v>
      </c>
      <c r="I113" s="11">
        <v>84.591820200359805</v>
      </c>
      <c r="J113" s="11">
        <v>82.731319130600923</v>
      </c>
      <c r="K113" s="11">
        <v>80.200635342938028</v>
      </c>
      <c r="L113" s="11">
        <v>78.405937137083143</v>
      </c>
      <c r="M113" s="11">
        <v>76.921671736037027</v>
      </c>
      <c r="N113" s="11">
        <v>75.565459378228596</v>
      </c>
      <c r="O113" s="11">
        <v>74.246110182872243</v>
      </c>
      <c r="P113" s="11">
        <v>72.912963105087172</v>
      </c>
      <c r="Q113" s="11">
        <v>71.535621517944818</v>
      </c>
      <c r="R113" s="163">
        <v>70.094742113399775</v>
      </c>
    </row>
    <row r="114" spans="1:18">
      <c r="A114" s="89"/>
      <c r="B114" s="88"/>
      <c r="D114" s="133" t="s">
        <v>9</v>
      </c>
      <c r="E114" s="143"/>
      <c r="F114" s="144">
        <f>'Additional inputs'!G81*('Additional inputs'!H81+'Additional inputs'!I81/Calculator!$G$7+'Additional inputs'!J81*Calculator!$G$7^2+'Additional inputs'!K81*Calculator!$D$7+'Additional inputs'!L81*'Additional inputs'!$K15)*(1+'Additional inputs'!$J$39)</f>
        <v>113.74192778668353</v>
      </c>
      <c r="G114" s="11">
        <v>130.32029062595046</v>
      </c>
      <c r="H114" s="11">
        <v>123.22497838070657</v>
      </c>
      <c r="I114" s="11">
        <v>119.18886743338651</v>
      </c>
      <c r="J114" s="11">
        <v>116.72841471832552</v>
      </c>
      <c r="K114" s="11">
        <v>114.30916938648357</v>
      </c>
      <c r="L114" s="11">
        <v>113.74192778668353</v>
      </c>
      <c r="M114" s="11">
        <v>114.28491838609307</v>
      </c>
      <c r="N114" s="11">
        <v>115.6202390992125</v>
      </c>
      <c r="O114" s="11">
        <v>117.58893888329209</v>
      </c>
      <c r="P114" s="11">
        <v>120.10271160347082</v>
      </c>
      <c r="Q114" s="11">
        <v>123.10857357883208</v>
      </c>
      <c r="R114" s="163">
        <v>126.57280792151984</v>
      </c>
    </row>
    <row r="115" spans="1:18">
      <c r="A115" s="89"/>
      <c r="B115" s="88"/>
      <c r="D115" s="133" t="s">
        <v>10</v>
      </c>
      <c r="E115" s="143"/>
      <c r="F115" s="144">
        <f>'Additional inputs'!G82*('Additional inputs'!H82+'Additional inputs'!I82/Calculator!$G$7+'Additional inputs'!J82*Calculator!$G$7^2+'Additional inputs'!K82*Calculator!$D$7+'Additional inputs'!L82*'Additional inputs'!$K16)*(1+'Additional inputs'!$J$39)</f>
        <v>135.63894504799941</v>
      </c>
      <c r="G115" s="11">
        <v>151.89252260560787</v>
      </c>
      <c r="H115" s="11">
        <v>144.8694503166009</v>
      </c>
      <c r="I115" s="11">
        <v>140.88491953826301</v>
      </c>
      <c r="J115" s="11">
        <v>138.46743297256515</v>
      </c>
      <c r="K115" s="11">
        <v>136.12634653204586</v>
      </c>
      <c r="L115" s="11">
        <v>135.63894504799941</v>
      </c>
      <c r="M115" s="11">
        <v>136.26947987141131</v>
      </c>
      <c r="N115" s="11">
        <v>137.70263015270388</v>
      </c>
      <c r="O115" s="11">
        <v>139.78073546708833</v>
      </c>
      <c r="P115" s="11">
        <v>142.41620668968193</v>
      </c>
      <c r="Q115" s="11">
        <v>145.55649034555512</v>
      </c>
      <c r="R115" s="163">
        <v>149.16814331429808</v>
      </c>
    </row>
    <row r="116" spans="1:18">
      <c r="A116" s="89"/>
      <c r="B116" s="88"/>
      <c r="D116" s="133" t="s">
        <v>11</v>
      </c>
      <c r="E116" s="143"/>
      <c r="F116" s="144">
        <f>'Additional inputs'!G83*('Additional inputs'!H83+'Additional inputs'!I83/Calculator!$G$7+'Additional inputs'!J83*Calculator!$G$7^2+'Additional inputs'!K83*Calculator!$D$7+'Additional inputs'!L83*'Additional inputs'!$K17)*(1+'Additional inputs'!$J$39)</f>
        <v>148.21693028821124</v>
      </c>
      <c r="G116" s="11">
        <v>164.14147641218395</v>
      </c>
      <c r="H116" s="11">
        <v>157.21619386268586</v>
      </c>
      <c r="I116" s="11">
        <v>153.29404920791956</v>
      </c>
      <c r="J116" s="11">
        <v>150.92202034946345</v>
      </c>
      <c r="K116" s="11">
        <v>148.64877687384939</v>
      </c>
      <c r="L116" s="11">
        <v>148.21693028821124</v>
      </c>
      <c r="M116" s="11">
        <v>148.89996954333819</v>
      </c>
      <c r="N116" s="11">
        <v>150.38653276099703</v>
      </c>
      <c r="O116" s="11">
        <v>152.52093900207115</v>
      </c>
      <c r="P116" s="11">
        <v>155.21669885594022</v>
      </c>
      <c r="Q116" s="11">
        <v>158.42191867623208</v>
      </c>
      <c r="R116" s="163">
        <v>162.10357523343711</v>
      </c>
    </row>
    <row r="117" spans="1:18">
      <c r="A117" s="89"/>
      <c r="B117" s="88"/>
      <c r="D117" s="133" t="s">
        <v>12</v>
      </c>
      <c r="E117" s="143"/>
      <c r="F117" s="144">
        <f>'Additional inputs'!G84*('Additional inputs'!H84+'Additional inputs'!I84/Calculator!$G$7+'Additional inputs'!J84*Calculator!$G$7^2+'Additional inputs'!K84*Calculator!$D$7+'Additional inputs'!L84*'Additional inputs'!$K18)*(1+'Additional inputs'!$J$39)</f>
        <v>201.10413076130112</v>
      </c>
      <c r="G117" s="11">
        <v>218.22811393685856</v>
      </c>
      <c r="H117" s="11">
        <v>209.72703911654594</v>
      </c>
      <c r="I117" s="11">
        <v>205.07540439722007</v>
      </c>
      <c r="J117" s="11">
        <v>202.44203351440041</v>
      </c>
      <c r="K117" s="11">
        <v>200.48331886155907</v>
      </c>
      <c r="L117" s="11">
        <v>201.10413076130112</v>
      </c>
      <c r="M117" s="11">
        <v>203.38888108138636</v>
      </c>
      <c r="N117" s="11">
        <v>206.94517490799737</v>
      </c>
      <c r="O117" s="11">
        <v>211.57681478422566</v>
      </c>
      <c r="P117" s="11">
        <v>217.17480212289976</v>
      </c>
      <c r="Q117" s="11">
        <v>223.67373777171667</v>
      </c>
      <c r="R117" s="163">
        <v>231.03200408830199</v>
      </c>
    </row>
    <row r="118" spans="1:18">
      <c r="A118" s="89"/>
      <c r="B118" s="88"/>
      <c r="D118" s="133" t="s">
        <v>14</v>
      </c>
      <c r="E118" s="143"/>
      <c r="F118" s="144">
        <f>'Additional inputs'!G85*('Additional inputs'!H85+'Additional inputs'!I85/Calculator!$G$7+'Additional inputs'!J85*Calculator!$G$7^2+'Additional inputs'!K85*Calculator!$D$7+'Additional inputs'!L85*'Additional inputs'!$K19)*(1+'Additional inputs'!$J$39)</f>
        <v>214.71163928215097</v>
      </c>
      <c r="G118" s="11">
        <v>231.56874536689676</v>
      </c>
      <c r="H118" s="11">
        <v>223.00228718976061</v>
      </c>
      <c r="I118" s="11">
        <v>218.34167122877201</v>
      </c>
      <c r="J118" s="11">
        <v>215.73382198946004</v>
      </c>
      <c r="K118" s="11">
        <v>213.89681043415899</v>
      </c>
      <c r="L118" s="11">
        <v>214.71163928215097</v>
      </c>
      <c r="M118" s="11">
        <v>217.25177078620038</v>
      </c>
      <c r="N118" s="11">
        <v>221.12011734034911</v>
      </c>
      <c r="O118" s="11">
        <v>226.11813514161821</v>
      </c>
      <c r="P118" s="11">
        <v>232.13552207724146</v>
      </c>
      <c r="Q118" s="11">
        <v>239.10609687955917</v>
      </c>
      <c r="R118" s="163">
        <v>246.98774419642433</v>
      </c>
    </row>
    <row r="119" spans="1:18">
      <c r="A119" s="89"/>
      <c r="B119" s="88"/>
      <c r="D119" s="133" t="s">
        <v>15</v>
      </c>
      <c r="E119" s="143"/>
      <c r="F119" s="144">
        <f>'Additional inputs'!G86*('Additional inputs'!H86+'Additional inputs'!I86/Calculator!$G$7+'Additional inputs'!J86*Calculator!$G$7^2+'Additional inputs'!K86*Calculator!$D$7+'Additional inputs'!L86*'Additional inputs'!$K20)*(1+'Additional inputs'!$J$39)</f>
        <v>217.47632249053001</v>
      </c>
      <c r="G119" s="11">
        <v>234.70494414072232</v>
      </c>
      <c r="H119" s="11">
        <v>226.06302343338436</v>
      </c>
      <c r="I119" s="11">
        <v>221.3463588295096</v>
      </c>
      <c r="J119" s="11">
        <v>218.68992390664306</v>
      </c>
      <c r="K119" s="11">
        <v>216.76020347025243</v>
      </c>
      <c r="L119" s="11">
        <v>217.47632249053001</v>
      </c>
      <c r="M119" s="11">
        <v>219.90576775624845</v>
      </c>
      <c r="N119" s="11">
        <v>223.64889074831018</v>
      </c>
      <c r="O119" s="11">
        <v>228.50586720716646</v>
      </c>
      <c r="P119" s="11">
        <v>234.36568365529024</v>
      </c>
      <c r="Q119" s="11">
        <v>241.16173200616527</v>
      </c>
      <c r="R119" s="163">
        <v>248.85162529564482</v>
      </c>
    </row>
    <row r="120" spans="1:18">
      <c r="A120" s="89"/>
      <c r="B120" s="88"/>
      <c r="D120" s="133" t="s">
        <v>16</v>
      </c>
      <c r="E120" s="143"/>
      <c r="F120" s="144">
        <f>'Additional inputs'!G87*('Additional inputs'!H87+'Additional inputs'!I87/Calculator!$G$7+'Additional inputs'!J87*Calculator!$G$7^2+'Additional inputs'!K87*Calculator!$D$7+'Additional inputs'!L87*'Additional inputs'!$K21)*(1+'Additional inputs'!$J$39)</f>
        <v>277.1027605260237</v>
      </c>
      <c r="G120" s="11">
        <v>290.36923142782905</v>
      </c>
      <c r="H120" s="11">
        <v>280.76391394583072</v>
      </c>
      <c r="I120" s="11">
        <v>275.91691962791174</v>
      </c>
      <c r="J120" s="11">
        <v>273.63996109438239</v>
      </c>
      <c r="K120" s="11">
        <v>273.51372031095821</v>
      </c>
      <c r="L120" s="11">
        <v>277.1027605260237</v>
      </c>
      <c r="M120" s="11">
        <v>283.31293804973404</v>
      </c>
      <c r="N120" s="11">
        <v>291.67533415787</v>
      </c>
      <c r="O120" s="11">
        <v>301.95548948832203</v>
      </c>
      <c r="P120" s="11">
        <v>314.02314883991795</v>
      </c>
      <c r="Q120" s="11">
        <v>327.80015909195475</v>
      </c>
      <c r="R120" s="163">
        <v>343.23678644034845</v>
      </c>
    </row>
    <row r="121" spans="1:18">
      <c r="A121" s="89"/>
      <c r="B121" s="88"/>
      <c r="D121" s="133" t="s">
        <v>17</v>
      </c>
      <c r="E121" s="143"/>
      <c r="F121" s="144">
        <f>'Additional inputs'!G88*('Additional inputs'!H88+'Additional inputs'!I88/Calculator!$G$7+'Additional inputs'!J88*Calculator!$G$7^2+'Additional inputs'!K88*Calculator!$D$7+'Additional inputs'!L88*'Additional inputs'!$K22)*(1+'Additional inputs'!$J$39)</f>
        <v>292.26179112110594</v>
      </c>
      <c r="G121" s="11">
        <v>304.11113025415733</v>
      </c>
      <c r="H121" s="11">
        <v>294.42345192349609</v>
      </c>
      <c r="I121" s="11">
        <v>289.63781367755649</v>
      </c>
      <c r="J121" s="11">
        <v>287.51714729740632</v>
      </c>
      <c r="K121" s="11">
        <v>287.91512780607576</v>
      </c>
      <c r="L121" s="11">
        <v>292.26179112110594</v>
      </c>
      <c r="M121" s="11">
        <v>299.43860313303088</v>
      </c>
      <c r="N121" s="11">
        <v>308.96619208065061</v>
      </c>
      <c r="O121" s="11">
        <v>320.60487208336559</v>
      </c>
      <c r="P121" s="11">
        <v>334.22148431862001</v>
      </c>
      <c r="Q121" s="11">
        <v>349.7361334928807</v>
      </c>
      <c r="R121" s="163">
        <v>367.09797714662642</v>
      </c>
    </row>
    <row r="122" spans="1:18">
      <c r="A122" s="89"/>
      <c r="B122" s="88"/>
      <c r="D122" s="133" t="s">
        <v>18</v>
      </c>
      <c r="E122" s="143"/>
      <c r="F122" s="144">
        <f>'Additional inputs'!G89*('Additional inputs'!H89+'Additional inputs'!I89/Calculator!$G$7+'Additional inputs'!J89*Calculator!$G$7^2+'Additional inputs'!K89*Calculator!$D$7+'Additional inputs'!L89*'Additional inputs'!$K23)*(1+'Additional inputs'!$J$39)</f>
        <v>358.75497109338352</v>
      </c>
      <c r="G122" s="11">
        <v>361.03228081436708</v>
      </c>
      <c r="H122" s="11">
        <v>350.71030991651583</v>
      </c>
      <c r="I122" s="11">
        <v>346.30699015380503</v>
      </c>
      <c r="J122" s="11">
        <v>345.23588403699785</v>
      </c>
      <c r="K122" s="11">
        <v>349.21065650723892</v>
      </c>
      <c r="L122" s="11">
        <v>358.75497109338352</v>
      </c>
      <c r="M122" s="11">
        <v>372.57560905081323</v>
      </c>
      <c r="N122" s="11">
        <v>390.11833377469162</v>
      </c>
      <c r="O122" s="11">
        <v>411.10602696260048</v>
      </c>
      <c r="P122" s="11">
        <v>435.38473400208505</v>
      </c>
      <c r="Q122" s="11">
        <v>462.86208212567271</v>
      </c>
      <c r="R122" s="163">
        <v>493.47928866315362</v>
      </c>
    </row>
    <row r="123" spans="1:18">
      <c r="A123" s="89"/>
      <c r="B123" s="88"/>
      <c r="D123" s="133" t="s">
        <v>19</v>
      </c>
      <c r="E123" s="143"/>
      <c r="F123" s="144">
        <f>'Additional inputs'!G90*('Additional inputs'!H90+'Additional inputs'!I90/Calculator!$G$7+'Additional inputs'!J90*Calculator!$G$7^2+'Additional inputs'!K90*Calculator!$D$7+'Additional inputs'!L90*'Additional inputs'!$K24)*(1+'Additional inputs'!$J$39)</f>
        <v>430.48656963964078</v>
      </c>
      <c r="G123" s="11">
        <v>419.13883422922737</v>
      </c>
      <c r="H123" s="11">
        <v>408.57189733562501</v>
      </c>
      <c r="I123" s="11">
        <v>404.98367864232068</v>
      </c>
      <c r="J123" s="11">
        <v>405.45814059976072</v>
      </c>
      <c r="K123" s="11">
        <v>414.22105014254294</v>
      </c>
      <c r="L123" s="11">
        <v>430.48656963964078</v>
      </c>
      <c r="M123" s="11">
        <v>452.79668031627745</v>
      </c>
      <c r="N123" s="11">
        <v>480.52651698326281</v>
      </c>
      <c r="O123" s="11">
        <v>513.36364704600192</v>
      </c>
      <c r="P123" s="11">
        <v>551.13449684083059</v>
      </c>
      <c r="Q123" s="11">
        <v>593.73492216955083</v>
      </c>
      <c r="R123" s="163">
        <v>641.0986494514907</v>
      </c>
    </row>
    <row r="124" spans="1:18">
      <c r="A124" s="89"/>
      <c r="B124" s="88"/>
      <c r="D124" s="133" t="s">
        <v>20</v>
      </c>
      <c r="E124" s="143"/>
      <c r="F124" s="144">
        <f>'Additional inputs'!G91*('Additional inputs'!H91+'Additional inputs'!I91/Calculator!$G$7+'Additional inputs'!J91*Calculator!$G$7^2+'Additional inputs'!K91*Calculator!$D$7+'Additional inputs'!L91*'Additional inputs'!$K25)*(1+'Additional inputs'!$J$39)</f>
        <v>447.95070826665449</v>
      </c>
      <c r="G124" s="11">
        <v>432.82917625895965</v>
      </c>
      <c r="H124" s="11">
        <v>422.41409370247567</v>
      </c>
      <c r="I124" s="11">
        <v>419.14210387721386</v>
      </c>
      <c r="J124" s="11">
        <v>420.06188119019413</v>
      </c>
      <c r="K124" s="11">
        <v>430.04974884141041</v>
      </c>
      <c r="L124" s="11">
        <v>447.95070826665449</v>
      </c>
      <c r="M124" s="11">
        <v>472.28909666943633</v>
      </c>
      <c r="N124" s="11">
        <v>502.43248713697432</v>
      </c>
      <c r="O124" s="11">
        <v>538.0646662128778</v>
      </c>
      <c r="P124" s="11">
        <v>579.00995975470755</v>
      </c>
      <c r="Q124" s="11">
        <v>625.1629632769999</v>
      </c>
      <c r="R124" s="163">
        <v>676.45660119809622</v>
      </c>
    </row>
    <row r="125" spans="1:18">
      <c r="A125" s="89"/>
      <c r="B125" s="88"/>
      <c r="D125" s="135" t="s">
        <v>151</v>
      </c>
      <c r="E125" s="145"/>
      <c r="F125" s="146">
        <f t="shared" ref="F125:R125" si="7">SUMPRODUCT($F$17:$F$19,F$105:F$107)/SUM($F$17:$F$19)</f>
        <v>11.702627303543858</v>
      </c>
      <c r="G125" s="73">
        <f t="shared" si="7"/>
        <v>17.021519306329484</v>
      </c>
      <c r="H125" s="73">
        <f t="shared" si="7"/>
        <v>14.881278103647404</v>
      </c>
      <c r="I125" s="73">
        <f t="shared" si="7"/>
        <v>13.642429742691879</v>
      </c>
      <c r="J125" s="73">
        <f t="shared" si="7"/>
        <v>12.863714544402502</v>
      </c>
      <c r="K125" s="73">
        <f t="shared" si="7"/>
        <v>12.024794117231528</v>
      </c>
      <c r="L125" s="73">
        <f t="shared" si="7"/>
        <v>11.702627303543858</v>
      </c>
      <c r="M125" s="73">
        <f t="shared" si="7"/>
        <v>11.676584263809278</v>
      </c>
      <c r="N125" s="73">
        <f t="shared" si="7"/>
        <v>11.852109352514839</v>
      </c>
      <c r="O125" s="73">
        <f t="shared" si="7"/>
        <v>12.181924746904068</v>
      </c>
      <c r="P125" s="73">
        <f t="shared" si="7"/>
        <v>12.639764989890041</v>
      </c>
      <c r="Q125" s="73">
        <f t="shared" si="7"/>
        <v>13.209870807220593</v>
      </c>
      <c r="R125" s="73">
        <f t="shared" si="7"/>
        <v>13.882213569826172</v>
      </c>
    </row>
    <row r="126" spans="1:18">
      <c r="A126" s="89"/>
      <c r="B126" s="88"/>
      <c r="D126" s="135" t="s">
        <v>152</v>
      </c>
      <c r="E126" s="145"/>
      <c r="F126" s="146">
        <f t="shared" ref="F126:R126" si="8">SUMPRODUCT($F$20:$F$21,F$108:F$109)/SUM($F$20:$F$21)</f>
        <v>15.445834952030991</v>
      </c>
      <c r="G126" s="73">
        <f t="shared" si="8"/>
        <v>21.701216735703138</v>
      </c>
      <c r="H126" s="73">
        <f t="shared" si="8"/>
        <v>19.37100435205264</v>
      </c>
      <c r="I126" s="73">
        <f t="shared" si="8"/>
        <v>17.990975267445489</v>
      </c>
      <c r="J126" s="73">
        <f t="shared" si="8"/>
        <v>17.089808321023153</v>
      </c>
      <c r="K126" s="73">
        <f t="shared" si="8"/>
        <v>16.017079101445194</v>
      </c>
      <c r="L126" s="73">
        <f t="shared" si="8"/>
        <v>15.445834952030991</v>
      </c>
      <c r="M126" s="73">
        <f t="shared" si="8"/>
        <v>15.140415292351285</v>
      </c>
      <c r="N126" s="73">
        <f t="shared" si="8"/>
        <v>14.999822730793532</v>
      </c>
      <c r="O126" s="73">
        <f t="shared" si="8"/>
        <v>14.973558571551466</v>
      </c>
      <c r="P126" s="73">
        <f t="shared" si="8"/>
        <v>15.033567983621602</v>
      </c>
      <c r="Q126" s="73">
        <f t="shared" si="8"/>
        <v>15.163018068401854</v>
      </c>
      <c r="R126" s="73">
        <f t="shared" si="8"/>
        <v>15.351196981327252</v>
      </c>
    </row>
    <row r="127" spans="1:18">
      <c r="A127" s="89"/>
      <c r="B127" s="88"/>
      <c r="D127" s="135" t="s">
        <v>153</v>
      </c>
      <c r="E127" s="145"/>
      <c r="F127" s="146">
        <f>SUMPRODUCT($F$22:$F$36,F$110:F$124)/SUM($F$22:$F$36)</f>
        <v>131.52134087637847</v>
      </c>
      <c r="G127" s="73">
        <f t="shared" ref="G127:R127" si="9">SUMPRODUCT($H$22:$H$36,G$110:G$124)/SUM($H$22:$H$36)</f>
        <v>145.24560698568089</v>
      </c>
      <c r="H127" s="73">
        <f t="shared" si="9"/>
        <v>139.00228228143595</v>
      </c>
      <c r="I127" s="73">
        <f t="shared" si="9"/>
        <v>135.50886178242396</v>
      </c>
      <c r="J127" s="73">
        <f t="shared" si="9"/>
        <v>133.443013036765</v>
      </c>
      <c r="K127" s="73">
        <f t="shared" si="9"/>
        <v>131.61053212768584</v>
      </c>
      <c r="L127" s="73">
        <f t="shared" si="9"/>
        <v>131.52134087637847</v>
      </c>
      <c r="M127" s="73">
        <f t="shared" si="9"/>
        <v>132.51427305690279</v>
      </c>
      <c r="N127" s="73">
        <f t="shared" si="9"/>
        <v>134.30597171528458</v>
      </c>
      <c r="O127" s="73">
        <f t="shared" si="9"/>
        <v>136.75475837453664</v>
      </c>
      <c r="P127" s="73">
        <f t="shared" si="9"/>
        <v>139.78192276966615</v>
      </c>
      <c r="Q127" s="73">
        <f t="shared" si="9"/>
        <v>143.34023874167733</v>
      </c>
      <c r="R127" s="73">
        <f t="shared" si="9"/>
        <v>147.39965328030027</v>
      </c>
    </row>
    <row r="128" spans="1:18">
      <c r="A128" s="89"/>
      <c r="B128" s="88"/>
      <c r="D128" s="135" t="s">
        <v>154</v>
      </c>
      <c r="E128" s="145"/>
      <c r="F128" s="146">
        <f t="shared" ref="F128:R128" si="10">SUMPRODUCT($F$17:$F$36,F$105:F$124)/SUM($F$17:$F$36)</f>
        <v>27.592364115363825</v>
      </c>
      <c r="G128" s="73">
        <f t="shared" si="10"/>
        <v>34.13273257366118</v>
      </c>
      <c r="H128" s="73">
        <f t="shared" si="10"/>
        <v>31.438569520188874</v>
      </c>
      <c r="I128" s="73">
        <f t="shared" si="10"/>
        <v>29.889519627024825</v>
      </c>
      <c r="J128" s="73">
        <f t="shared" si="10"/>
        <v>28.927077967956439</v>
      </c>
      <c r="K128" s="73">
        <f t="shared" si="10"/>
        <v>27.924261962787721</v>
      </c>
      <c r="L128" s="73">
        <f t="shared" si="10"/>
        <v>27.592364115363825</v>
      </c>
      <c r="M128" s="73">
        <f t="shared" si="10"/>
        <v>27.652131962578448</v>
      </c>
      <c r="N128" s="73">
        <f t="shared" si="10"/>
        <v>27.983885877386037</v>
      </c>
      <c r="O128" s="73">
        <f t="shared" si="10"/>
        <v>28.527786046263813</v>
      </c>
      <c r="P128" s="73">
        <f t="shared" si="10"/>
        <v>29.250588128365788</v>
      </c>
      <c r="Q128" s="73">
        <f t="shared" si="10"/>
        <v>30.132345519184366</v>
      </c>
      <c r="R128" s="73">
        <f t="shared" si="10"/>
        <v>31.160364924941998</v>
      </c>
    </row>
    <row r="129" spans="1:18">
      <c r="A129" s="89"/>
      <c r="B129" s="88"/>
      <c r="D129" s="109"/>
      <c r="E129" s="69"/>
      <c r="F129" s="122"/>
      <c r="G129" s="122"/>
      <c r="H129" s="122"/>
      <c r="I129" s="122"/>
      <c r="J129" s="122"/>
      <c r="K129" s="122"/>
      <c r="L129" s="122"/>
      <c r="M129" s="122"/>
      <c r="N129" s="122"/>
      <c r="O129" s="122"/>
      <c r="P129" s="122"/>
      <c r="Q129" s="122"/>
      <c r="R129" s="122"/>
    </row>
    <row r="130" spans="1:18" ht="15.6" hidden="1">
      <c r="A130" s="89"/>
      <c r="B130" s="88"/>
      <c r="D130" s="98"/>
      <c r="E130" s="95"/>
      <c r="F130" s="8"/>
      <c r="G130" s="159"/>
      <c r="H130" s="159"/>
      <c r="I130" s="159"/>
      <c r="J130" s="159"/>
      <c r="K130" s="159"/>
      <c r="L130" s="159"/>
      <c r="M130" s="159"/>
      <c r="N130" s="159"/>
      <c r="O130" s="159"/>
      <c r="P130" s="159"/>
      <c r="Q130" s="159"/>
    </row>
    <row r="131" spans="1:18" hidden="1">
      <c r="A131" s="89"/>
      <c r="B131" s="88"/>
      <c r="D131" s="98"/>
      <c r="E131" s="95"/>
      <c r="F131" s="8"/>
      <c r="G131" s="156"/>
      <c r="H131" s="156"/>
      <c r="I131" s="156"/>
      <c r="J131" s="156"/>
      <c r="K131" s="156"/>
      <c r="L131" s="156"/>
      <c r="M131" s="156"/>
      <c r="N131" s="156"/>
      <c r="O131" s="156"/>
      <c r="P131" s="156"/>
      <c r="Q131" s="156"/>
    </row>
    <row r="132" spans="1:18" hidden="1">
      <c r="A132" s="89"/>
      <c r="B132" s="88"/>
      <c r="D132" s="98"/>
      <c r="E132" s="95"/>
      <c r="F132" s="8"/>
      <c r="G132" s="156"/>
      <c r="H132" s="156"/>
      <c r="I132" s="156"/>
      <c r="J132" s="156"/>
      <c r="K132" s="156"/>
      <c r="L132" s="156"/>
      <c r="M132" s="156"/>
      <c r="N132" s="156"/>
      <c r="O132" s="156"/>
      <c r="P132" s="156"/>
      <c r="Q132" s="156"/>
    </row>
    <row r="133" spans="1:18" hidden="1">
      <c r="A133" s="89"/>
      <c r="B133" s="88"/>
      <c r="D133" s="98"/>
      <c r="E133" s="95"/>
      <c r="F133" s="8"/>
    </row>
    <row r="134" spans="1:18" hidden="1">
      <c r="A134" s="89"/>
      <c r="B134" s="88"/>
      <c r="D134" s="98"/>
      <c r="E134" s="95"/>
      <c r="F134" s="8"/>
    </row>
    <row r="135" spans="1:18" hidden="1">
      <c r="A135" s="89"/>
      <c r="B135" s="88"/>
      <c r="D135" s="98"/>
      <c r="E135" s="95"/>
      <c r="F135" s="8"/>
    </row>
    <row r="136" spans="1:18" hidden="1">
      <c r="A136" s="89"/>
      <c r="B136" s="88"/>
      <c r="D136" s="98"/>
      <c r="E136" s="95"/>
      <c r="F136" s="8"/>
    </row>
    <row r="137" spans="1:18" hidden="1">
      <c r="A137" s="89"/>
      <c r="B137" s="88"/>
      <c r="D137" s="98"/>
      <c r="E137" s="95"/>
      <c r="F137" s="8"/>
    </row>
    <row r="138" spans="1:18" hidden="1">
      <c r="A138" s="89"/>
      <c r="B138" s="88"/>
      <c r="D138" s="106"/>
      <c r="E138" s="104"/>
      <c r="F138" s="105"/>
    </row>
    <row r="139" spans="1:18" hidden="1">
      <c r="A139" s="89"/>
      <c r="B139" s="88"/>
    </row>
    <row r="140" spans="1:18" hidden="1">
      <c r="A140" s="89"/>
      <c r="B140" s="88"/>
    </row>
    <row r="141" spans="1:18" s="162" customFormat="1" ht="14.4" hidden="1" customHeight="1"/>
    <row r="142" spans="1:18" s="162" customFormat="1" ht="14.4" hidden="1" customHeight="1"/>
    <row r="143" spans="1:18" s="162" customFormat="1" ht="14.4" hidden="1" customHeight="1"/>
    <row r="144" spans="1:18" s="162" customFormat="1" ht="14.4" hidden="1" customHeight="1"/>
    <row r="145" s="162" customFormat="1" ht="14.4" hidden="1" customHeight="1"/>
    <row r="146" s="162" customFormat="1" ht="14.4" hidden="1" customHeight="1"/>
    <row r="147" s="162" customFormat="1" ht="14.4" hidden="1" customHeight="1"/>
    <row r="148" s="162" customFormat="1" ht="14.4" hidden="1" customHeight="1"/>
    <row r="149" s="162" customFormat="1" ht="14.4" hidden="1" customHeight="1"/>
    <row r="150" s="162" customFormat="1" ht="14.4" hidden="1" customHeight="1"/>
    <row r="151" s="162" customFormat="1" ht="14.4" hidden="1" customHeight="1"/>
    <row r="152" s="162" customFormat="1" ht="14.4" hidden="1" customHeight="1"/>
    <row r="153" s="162" customFormat="1" ht="14.4" hidden="1" customHeight="1"/>
  </sheetData>
  <protectedRanges>
    <protectedRange sqref="D7:G7 D10 G104:Q104 G75:Q75 D13:D14 D41" name="Range1_2"/>
  </protectedRanges>
  <mergeCells count="4">
    <mergeCell ref="D15:G15"/>
    <mergeCell ref="D44:G44"/>
    <mergeCell ref="D102:Q102"/>
    <mergeCell ref="I44:M44"/>
  </mergeCells>
  <dataValidations count="3">
    <dataValidation type="list" allowBlank="1" showInputMessage="1" showErrorMessage="1" sqref="D41" xr:uid="{00000000-0002-0000-0200-000000000000}">
      <formula1>$F$31:$F$35</formula1>
    </dataValidation>
    <dataValidation type="list" allowBlank="1" showInputMessage="1" showErrorMessage="1" sqref="H7" xr:uid="{00000000-0002-0000-0200-000001000000}">
      <formula1>$F$16:$G$16</formula1>
    </dataValidation>
    <dataValidation type="list" allowBlank="1" showInputMessage="1" showErrorMessage="1" sqref="L7" xr:uid="{00000000-0002-0000-0200-000002000000}">
      <formula1>$E$92:$G$92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'Additional inputs'!$F$66:$U$66</xm:f>
          </x14:formula1>
          <xm:sqref>D7</xm:sqref>
        </x14:dataValidation>
        <x14:dataValidation type="list" allowBlank="1" showInputMessage="1" showErrorMessage="1" xr:uid="{00000000-0002-0000-0200-000004000000}">
          <x14:formula1>
            <xm:f>'Additional inputs'!$F$67:$J$67</xm:f>
          </x14:formula1>
          <xm:sqref>E7</xm:sqref>
        </x14:dataValidation>
        <x14:dataValidation type="list" allowBlank="1" showInputMessage="1" showErrorMessage="1" xr:uid="{00000000-0002-0000-0200-000005000000}">
          <x14:formula1>
            <xm:f>'Additional inputs'!$F$68:$H$68</xm:f>
          </x14:formula1>
          <xm:sqref>F7</xm:sqref>
        </x14:dataValidation>
        <x14:dataValidation type="list" allowBlank="1" showInputMessage="1" showErrorMessage="1" xr:uid="{00000000-0002-0000-0200-000006000000}">
          <x14:formula1>
            <xm:f>'Additional inputs'!$E$31:$E$38</xm:f>
          </x14:formula1>
          <xm:sqref>D13:D14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Y347"/>
  <sheetViews>
    <sheetView showGridLines="0" topLeftCell="A82" zoomScale="85" zoomScaleNormal="85" workbookViewId="0">
      <selection activeCell="G44" sqref="G44"/>
    </sheetView>
  </sheetViews>
  <sheetFormatPr defaultColWidth="9.21875" defaultRowHeight="13.8" zeroHeight="1"/>
  <cols>
    <col min="1" max="1" width="9.21875" style="93"/>
    <col min="2" max="2" width="4.44140625" style="94" customWidth="1"/>
    <col min="3" max="3" width="4.44140625" style="16" customWidth="1"/>
    <col min="4" max="4" width="2.77734375" style="16" customWidth="1"/>
    <col min="5" max="5" width="33" style="16" customWidth="1"/>
    <col min="6" max="6" width="26.21875" style="16" customWidth="1"/>
    <col min="7" max="7" width="27" style="16" customWidth="1"/>
    <col min="8" max="8" width="22.77734375" style="16" customWidth="1"/>
    <col min="9" max="13" width="18.44140625" style="16" customWidth="1"/>
    <col min="14" max="14" width="15.5546875" style="16" customWidth="1"/>
    <col min="15" max="15" width="25.21875" style="16" customWidth="1"/>
    <col min="16" max="16384" width="9.21875" style="16"/>
  </cols>
  <sheetData>
    <row r="1" spans="4:24"/>
    <row r="2" spans="4:24" ht="45">
      <c r="D2" s="12"/>
      <c r="E2" s="78" t="s">
        <v>96</v>
      </c>
      <c r="F2" s="13"/>
      <c r="G2" s="13"/>
      <c r="H2" s="13"/>
      <c r="I2" s="13"/>
      <c r="J2" s="13"/>
      <c r="K2" s="13"/>
      <c r="L2" s="13"/>
      <c r="M2" s="13"/>
      <c r="N2" s="13"/>
      <c r="O2" s="14"/>
      <c r="P2" s="14"/>
      <c r="Q2" s="14"/>
      <c r="R2" s="14"/>
      <c r="S2" s="14"/>
      <c r="T2" s="14"/>
      <c r="U2" s="14"/>
      <c r="V2" s="14"/>
      <c r="W2" s="14"/>
      <c r="X2" s="15"/>
    </row>
    <row r="3" spans="4:24">
      <c r="D3" s="17"/>
      <c r="E3" s="18"/>
      <c r="F3" s="18"/>
      <c r="G3" s="18"/>
      <c r="H3" s="18"/>
      <c r="I3" s="18"/>
      <c r="J3" s="18"/>
      <c r="K3" s="18"/>
      <c r="L3" s="18"/>
      <c r="M3" s="18"/>
      <c r="N3" s="18"/>
      <c r="O3" s="19"/>
      <c r="P3" s="19"/>
      <c r="Q3" s="19"/>
      <c r="R3" s="19"/>
      <c r="S3" s="19"/>
      <c r="T3" s="19"/>
      <c r="U3" s="19"/>
      <c r="V3" s="19"/>
      <c r="W3" s="19"/>
      <c r="X3" s="20"/>
    </row>
    <row r="4" spans="4:24">
      <c r="D4" s="17"/>
      <c r="E4" s="21" t="s">
        <v>65</v>
      </c>
      <c r="F4" s="19"/>
      <c r="G4" s="19"/>
      <c r="H4" s="19"/>
      <c r="I4" s="19"/>
      <c r="J4" s="19"/>
      <c r="K4" s="19"/>
      <c r="L4" s="19"/>
      <c r="M4" s="19"/>
      <c r="N4" s="19"/>
      <c r="O4" s="19"/>
      <c r="P4" s="19"/>
      <c r="Q4" s="19"/>
      <c r="R4" s="19"/>
      <c r="S4" s="19"/>
      <c r="T4" s="19"/>
      <c r="U4" s="19"/>
      <c r="V4" s="19"/>
      <c r="W4" s="19"/>
      <c r="X4" s="20"/>
    </row>
    <row r="5" spans="4:24" ht="18" customHeight="1">
      <c r="D5" s="17"/>
      <c r="E5" s="22" t="s">
        <v>67</v>
      </c>
      <c r="F5" s="23" t="s">
        <v>13</v>
      </c>
      <c r="G5" s="23" t="s">
        <v>24</v>
      </c>
      <c r="H5" s="24" t="s">
        <v>25</v>
      </c>
      <c r="I5" s="25" t="s">
        <v>34</v>
      </c>
      <c r="J5" s="26" t="s">
        <v>26</v>
      </c>
      <c r="K5" s="27">
        <f>Calculator!$D$10</f>
        <v>0.75</v>
      </c>
      <c r="L5" s="19"/>
      <c r="M5" s="19"/>
      <c r="N5" s="19"/>
      <c r="O5" s="19"/>
      <c r="P5" s="19"/>
      <c r="Q5" s="19"/>
      <c r="R5" s="19"/>
      <c r="S5" s="19"/>
      <c r="T5" s="19"/>
      <c r="U5" s="19"/>
      <c r="V5" s="19"/>
      <c r="W5" s="19"/>
      <c r="X5" s="20"/>
    </row>
    <row r="6" spans="4:24">
      <c r="D6" s="17"/>
      <c r="E6" s="28">
        <v>1</v>
      </c>
      <c r="F6" s="29" t="s">
        <v>0</v>
      </c>
      <c r="G6" s="29">
        <v>1.2</v>
      </c>
      <c r="H6" s="29">
        <v>0.4</v>
      </c>
      <c r="I6" s="30">
        <f>H6*$K$5</f>
        <v>0.30000000000000004</v>
      </c>
      <c r="J6" s="30">
        <f>G6-H6</f>
        <v>0.79999999999999993</v>
      </c>
      <c r="K6" s="31">
        <f>I6+J6</f>
        <v>1.1000000000000001</v>
      </c>
      <c r="L6" s="19"/>
      <c r="M6" s="19"/>
      <c r="N6" s="19"/>
      <c r="O6" s="19"/>
      <c r="P6" s="19"/>
      <c r="Q6" s="19"/>
      <c r="R6" s="19"/>
      <c r="S6" s="19"/>
      <c r="T6" s="19"/>
      <c r="U6" s="19"/>
      <c r="V6" s="19"/>
      <c r="W6" s="19"/>
      <c r="X6" s="20"/>
    </row>
    <row r="7" spans="4:24">
      <c r="D7" s="17"/>
      <c r="E7" s="28">
        <v>2</v>
      </c>
      <c r="F7" s="29" t="s">
        <v>1</v>
      </c>
      <c r="G7" s="29">
        <v>1.4</v>
      </c>
      <c r="H7" s="29">
        <v>0.4</v>
      </c>
      <c r="I7" s="30">
        <f t="shared" ref="I7:I25" si="0">H7*$K$5</f>
        <v>0.30000000000000004</v>
      </c>
      <c r="J7" s="30">
        <f t="shared" ref="J7:J25" si="1">G7-H7</f>
        <v>0.99999999999999989</v>
      </c>
      <c r="K7" s="31">
        <f t="shared" ref="K7:K25" si="2">I7+J7</f>
        <v>1.2999999999999998</v>
      </c>
      <c r="L7" s="19"/>
      <c r="M7" s="19"/>
      <c r="N7" s="19"/>
      <c r="O7" s="19"/>
      <c r="P7" s="19"/>
      <c r="Q7" s="19"/>
      <c r="R7" s="19"/>
      <c r="S7" s="19"/>
      <c r="T7" s="19"/>
      <c r="U7" s="19"/>
      <c r="V7" s="19"/>
      <c r="W7" s="19"/>
      <c r="X7" s="20"/>
    </row>
    <row r="8" spans="4:24">
      <c r="D8" s="17"/>
      <c r="E8" s="28">
        <v>3</v>
      </c>
      <c r="F8" s="29" t="s">
        <v>2</v>
      </c>
      <c r="G8" s="29">
        <v>1.6</v>
      </c>
      <c r="H8" s="29">
        <v>0.4</v>
      </c>
      <c r="I8" s="30">
        <f t="shared" si="0"/>
        <v>0.30000000000000004</v>
      </c>
      <c r="J8" s="30">
        <f t="shared" si="1"/>
        <v>1.2000000000000002</v>
      </c>
      <c r="K8" s="31">
        <f t="shared" si="2"/>
        <v>1.5000000000000002</v>
      </c>
      <c r="L8" s="19"/>
      <c r="M8" s="19"/>
      <c r="N8" s="19"/>
      <c r="O8" s="19"/>
      <c r="P8" s="19"/>
      <c r="Q8" s="19"/>
      <c r="R8" s="19"/>
      <c r="S8" s="19"/>
      <c r="T8" s="19"/>
      <c r="U8" s="19"/>
      <c r="V8" s="19"/>
      <c r="W8" s="19"/>
      <c r="X8" s="20"/>
    </row>
    <row r="9" spans="4:24">
      <c r="D9" s="17"/>
      <c r="E9" s="28">
        <v>4</v>
      </c>
      <c r="F9" s="29" t="s">
        <v>3</v>
      </c>
      <c r="G9" s="29">
        <v>2.15</v>
      </c>
      <c r="H9" s="29">
        <v>0.85</v>
      </c>
      <c r="I9" s="30">
        <f t="shared" si="0"/>
        <v>0.63749999999999996</v>
      </c>
      <c r="J9" s="30">
        <f t="shared" si="1"/>
        <v>1.2999999999999998</v>
      </c>
      <c r="K9" s="31">
        <f t="shared" si="2"/>
        <v>1.9374999999999998</v>
      </c>
      <c r="L9" s="19"/>
      <c r="M9" s="19"/>
      <c r="N9" s="19"/>
      <c r="O9" s="19"/>
      <c r="P9" s="19"/>
      <c r="Q9" s="19"/>
      <c r="R9" s="19"/>
      <c r="S9" s="19"/>
      <c r="T9" s="19"/>
      <c r="U9" s="19"/>
      <c r="V9" s="19"/>
      <c r="W9" s="19"/>
      <c r="X9" s="20"/>
    </row>
    <row r="10" spans="4:24">
      <c r="D10" s="17"/>
      <c r="E10" s="28">
        <v>5</v>
      </c>
      <c r="F10" s="29" t="s">
        <v>4</v>
      </c>
      <c r="G10" s="29">
        <v>2.73</v>
      </c>
      <c r="H10" s="29">
        <v>0.93</v>
      </c>
      <c r="I10" s="30">
        <f t="shared" si="0"/>
        <v>0.69750000000000001</v>
      </c>
      <c r="J10" s="30">
        <f t="shared" si="1"/>
        <v>1.7999999999999998</v>
      </c>
      <c r="K10" s="31">
        <f t="shared" si="2"/>
        <v>2.4974999999999996</v>
      </c>
      <c r="L10" s="19"/>
      <c r="M10" s="19"/>
      <c r="N10" s="19"/>
      <c r="O10" s="19"/>
      <c r="P10" s="19"/>
      <c r="Q10" s="19"/>
      <c r="R10" s="19"/>
      <c r="S10" s="19"/>
      <c r="T10" s="19"/>
      <c r="U10" s="19"/>
      <c r="V10" s="19"/>
      <c r="W10" s="19"/>
      <c r="X10" s="20"/>
    </row>
    <row r="11" spans="4:24">
      <c r="D11" s="17"/>
      <c r="E11" s="28">
        <v>6</v>
      </c>
      <c r="F11" s="29" t="s">
        <v>5</v>
      </c>
      <c r="G11" s="29">
        <v>3.75</v>
      </c>
      <c r="H11" s="29">
        <v>2.15</v>
      </c>
      <c r="I11" s="30">
        <f t="shared" si="0"/>
        <v>1.6124999999999998</v>
      </c>
      <c r="J11" s="30">
        <f t="shared" si="1"/>
        <v>1.6</v>
      </c>
      <c r="K11" s="31">
        <f t="shared" si="2"/>
        <v>3.2124999999999999</v>
      </c>
      <c r="L11" s="19"/>
      <c r="M11" s="19"/>
      <c r="N11" s="19"/>
      <c r="O11" s="19"/>
      <c r="P11" s="19"/>
      <c r="Q11" s="19"/>
      <c r="R11" s="19"/>
      <c r="S11" s="19"/>
      <c r="T11" s="19"/>
      <c r="U11" s="19"/>
      <c r="V11" s="19"/>
      <c r="W11" s="19"/>
      <c r="X11" s="20"/>
    </row>
    <row r="12" spans="4:24">
      <c r="D12" s="17"/>
      <c r="E12" s="28">
        <v>7</v>
      </c>
      <c r="F12" s="29" t="s">
        <v>6</v>
      </c>
      <c r="G12" s="29">
        <v>10.4</v>
      </c>
      <c r="H12" s="29">
        <v>7.2</v>
      </c>
      <c r="I12" s="30">
        <f t="shared" si="0"/>
        <v>5.4</v>
      </c>
      <c r="J12" s="30">
        <f t="shared" si="1"/>
        <v>3.2</v>
      </c>
      <c r="K12" s="31">
        <f t="shared" si="2"/>
        <v>8.6000000000000014</v>
      </c>
      <c r="L12" s="19"/>
      <c r="M12" s="19"/>
      <c r="N12" s="19"/>
      <c r="O12" s="19"/>
      <c r="P12" s="19"/>
      <c r="Q12" s="19"/>
      <c r="R12" s="19"/>
      <c r="S12" s="19"/>
      <c r="T12" s="19"/>
      <c r="U12" s="19"/>
      <c r="V12" s="19"/>
      <c r="W12" s="19"/>
      <c r="X12" s="20"/>
    </row>
    <row r="13" spans="4:24">
      <c r="D13" s="17"/>
      <c r="E13" s="28">
        <v>8</v>
      </c>
      <c r="F13" s="29" t="s">
        <v>7</v>
      </c>
      <c r="G13" s="29">
        <v>22.5</v>
      </c>
      <c r="H13" s="29">
        <v>13.5</v>
      </c>
      <c r="I13" s="30">
        <f t="shared" si="0"/>
        <v>10.125</v>
      </c>
      <c r="J13" s="30">
        <f t="shared" si="1"/>
        <v>9</v>
      </c>
      <c r="K13" s="31">
        <f t="shared" si="2"/>
        <v>19.125</v>
      </c>
      <c r="L13" s="19"/>
      <c r="M13" s="19"/>
      <c r="N13" s="19"/>
      <c r="O13" s="19"/>
      <c r="P13" s="19"/>
      <c r="Q13" s="19"/>
      <c r="R13" s="19"/>
      <c r="S13" s="19"/>
      <c r="T13" s="19"/>
      <c r="U13" s="19"/>
      <c r="V13" s="19"/>
      <c r="W13" s="19"/>
      <c r="X13" s="20"/>
    </row>
    <row r="14" spans="4:24">
      <c r="D14" s="17"/>
      <c r="E14" s="28">
        <v>9</v>
      </c>
      <c r="F14" s="29" t="s">
        <v>8</v>
      </c>
      <c r="G14" s="29">
        <v>19</v>
      </c>
      <c r="H14" s="29">
        <v>7</v>
      </c>
      <c r="I14" s="30">
        <f t="shared" si="0"/>
        <v>5.25</v>
      </c>
      <c r="J14" s="30">
        <f t="shared" si="1"/>
        <v>12</v>
      </c>
      <c r="K14" s="31">
        <f t="shared" si="2"/>
        <v>17.25</v>
      </c>
      <c r="L14" s="19"/>
      <c r="M14" s="19"/>
      <c r="N14" s="19"/>
      <c r="O14" s="19"/>
      <c r="P14" s="19"/>
      <c r="Q14" s="19"/>
      <c r="R14" s="19"/>
      <c r="S14" s="19"/>
      <c r="T14" s="19"/>
      <c r="U14" s="19"/>
      <c r="V14" s="19"/>
      <c r="W14" s="19"/>
      <c r="X14" s="20"/>
    </row>
    <row r="15" spans="4:24">
      <c r="D15" s="17"/>
      <c r="E15" s="28">
        <v>10</v>
      </c>
      <c r="F15" s="29" t="s">
        <v>9</v>
      </c>
      <c r="G15" s="29">
        <v>31.5</v>
      </c>
      <c r="H15" s="29">
        <v>20.5</v>
      </c>
      <c r="I15" s="30">
        <f t="shared" si="0"/>
        <v>15.375</v>
      </c>
      <c r="J15" s="30">
        <f t="shared" si="1"/>
        <v>11</v>
      </c>
      <c r="K15" s="31">
        <f t="shared" si="2"/>
        <v>26.375</v>
      </c>
      <c r="L15" s="19"/>
      <c r="M15" s="19"/>
      <c r="N15" s="19"/>
      <c r="O15" s="19"/>
      <c r="P15" s="19"/>
      <c r="Q15" s="19"/>
      <c r="R15" s="19"/>
      <c r="S15" s="19"/>
      <c r="T15" s="19"/>
      <c r="U15" s="19"/>
      <c r="V15" s="19"/>
      <c r="W15" s="19"/>
      <c r="X15" s="20"/>
    </row>
    <row r="16" spans="4:24">
      <c r="D16" s="17"/>
      <c r="E16" s="28">
        <v>11</v>
      </c>
      <c r="F16" s="29" t="s">
        <v>10</v>
      </c>
      <c r="G16" s="29">
        <v>39</v>
      </c>
      <c r="H16" s="29">
        <v>26</v>
      </c>
      <c r="I16" s="30">
        <f t="shared" si="0"/>
        <v>19.5</v>
      </c>
      <c r="J16" s="30">
        <f t="shared" si="1"/>
        <v>13</v>
      </c>
      <c r="K16" s="31">
        <f t="shared" si="2"/>
        <v>32.5</v>
      </c>
      <c r="L16" s="19"/>
      <c r="M16" s="19"/>
      <c r="N16" s="19"/>
      <c r="O16" s="19"/>
      <c r="P16" s="19"/>
      <c r="Q16" s="19"/>
      <c r="R16" s="19"/>
      <c r="S16" s="19"/>
      <c r="T16" s="19"/>
      <c r="U16" s="19"/>
      <c r="V16" s="19"/>
      <c r="W16" s="19"/>
      <c r="X16" s="20"/>
    </row>
    <row r="17" spans="4:24">
      <c r="D17" s="17"/>
      <c r="E17" s="28">
        <v>12</v>
      </c>
      <c r="F17" s="29" t="s">
        <v>11</v>
      </c>
      <c r="G17" s="29">
        <v>42.5</v>
      </c>
      <c r="H17" s="29">
        <v>27.5</v>
      </c>
      <c r="I17" s="30">
        <f t="shared" si="0"/>
        <v>20.625</v>
      </c>
      <c r="J17" s="30">
        <f t="shared" si="1"/>
        <v>15</v>
      </c>
      <c r="K17" s="31">
        <f t="shared" si="2"/>
        <v>35.625</v>
      </c>
      <c r="L17" s="19"/>
      <c r="M17" s="19"/>
      <c r="N17" s="19"/>
      <c r="O17" s="19"/>
      <c r="P17" s="19"/>
      <c r="Q17" s="19"/>
      <c r="R17" s="19"/>
      <c r="S17" s="19"/>
      <c r="T17" s="19"/>
      <c r="U17" s="19"/>
      <c r="V17" s="19"/>
      <c r="W17" s="19"/>
      <c r="X17" s="20"/>
    </row>
    <row r="18" spans="4:24">
      <c r="D18" s="17"/>
      <c r="E18" s="28">
        <v>13</v>
      </c>
      <c r="F18" s="29" t="s">
        <v>12</v>
      </c>
      <c r="G18" s="29">
        <v>59</v>
      </c>
      <c r="H18" s="29">
        <v>40</v>
      </c>
      <c r="I18" s="30">
        <f t="shared" si="0"/>
        <v>30</v>
      </c>
      <c r="J18" s="30">
        <f t="shared" si="1"/>
        <v>19</v>
      </c>
      <c r="K18" s="31">
        <f t="shared" si="2"/>
        <v>49</v>
      </c>
      <c r="L18" s="19"/>
      <c r="M18" s="19"/>
      <c r="N18" s="19"/>
      <c r="O18" s="19"/>
      <c r="P18" s="19"/>
      <c r="Q18" s="19"/>
      <c r="R18" s="19"/>
      <c r="S18" s="19"/>
      <c r="T18" s="19"/>
      <c r="U18" s="19"/>
      <c r="V18" s="19"/>
      <c r="W18" s="19"/>
      <c r="X18" s="20"/>
    </row>
    <row r="19" spans="4:24">
      <c r="D19" s="17"/>
      <c r="E19" s="28">
        <v>14</v>
      </c>
      <c r="F19" s="29" t="s">
        <v>14</v>
      </c>
      <c r="G19" s="29">
        <v>62.5</v>
      </c>
      <c r="H19" s="29">
        <v>40.5</v>
      </c>
      <c r="I19" s="30">
        <f t="shared" si="0"/>
        <v>30.375</v>
      </c>
      <c r="J19" s="30">
        <f t="shared" si="1"/>
        <v>22</v>
      </c>
      <c r="K19" s="31">
        <f t="shared" si="2"/>
        <v>52.375</v>
      </c>
      <c r="L19" s="19"/>
      <c r="M19" s="19"/>
      <c r="N19" s="19"/>
      <c r="O19" s="19"/>
      <c r="P19" s="19"/>
      <c r="Q19" s="19"/>
      <c r="R19" s="19"/>
      <c r="S19" s="19"/>
      <c r="T19" s="19"/>
      <c r="U19" s="19"/>
      <c r="V19" s="19"/>
      <c r="W19" s="19"/>
      <c r="X19" s="20"/>
    </row>
    <row r="20" spans="4:24">
      <c r="D20" s="17"/>
      <c r="E20" s="28">
        <v>15</v>
      </c>
      <c r="F20" s="29" t="s">
        <v>15</v>
      </c>
      <c r="G20" s="29">
        <v>64</v>
      </c>
      <c r="H20" s="29">
        <v>43</v>
      </c>
      <c r="I20" s="30">
        <f t="shared" si="0"/>
        <v>32.25</v>
      </c>
      <c r="J20" s="30">
        <f t="shared" si="1"/>
        <v>21</v>
      </c>
      <c r="K20" s="31">
        <f t="shared" si="2"/>
        <v>53.25</v>
      </c>
      <c r="L20" s="19"/>
      <c r="M20" s="19"/>
      <c r="N20" s="19"/>
      <c r="O20" s="19"/>
      <c r="P20" s="19"/>
      <c r="Q20" s="19"/>
      <c r="R20" s="19"/>
      <c r="S20" s="19"/>
      <c r="T20" s="19"/>
      <c r="U20" s="19"/>
      <c r="V20" s="19"/>
      <c r="W20" s="19"/>
      <c r="X20" s="20"/>
    </row>
    <row r="21" spans="4:24">
      <c r="D21" s="17"/>
      <c r="E21" s="28">
        <v>16</v>
      </c>
      <c r="F21" s="29" t="s">
        <v>16</v>
      </c>
      <c r="G21" s="29">
        <v>79</v>
      </c>
      <c r="H21" s="29">
        <v>48</v>
      </c>
      <c r="I21" s="30">
        <f t="shared" si="0"/>
        <v>36</v>
      </c>
      <c r="J21" s="30">
        <f t="shared" si="1"/>
        <v>31</v>
      </c>
      <c r="K21" s="31">
        <f t="shared" si="2"/>
        <v>67</v>
      </c>
      <c r="L21" s="19"/>
      <c r="M21" s="19"/>
      <c r="N21" s="19"/>
      <c r="O21" s="19"/>
      <c r="P21" s="19"/>
      <c r="Q21" s="19"/>
      <c r="R21" s="19"/>
      <c r="S21" s="19"/>
      <c r="T21" s="19"/>
      <c r="U21" s="19"/>
      <c r="V21" s="19"/>
      <c r="W21" s="19"/>
      <c r="X21" s="20"/>
    </row>
    <row r="22" spans="4:24">
      <c r="D22" s="17"/>
      <c r="E22" s="28">
        <v>17</v>
      </c>
      <c r="F22" s="29" t="s">
        <v>17</v>
      </c>
      <c r="G22" s="29">
        <v>82.5</v>
      </c>
      <c r="H22" s="29">
        <v>48.5</v>
      </c>
      <c r="I22" s="30">
        <f t="shared" si="0"/>
        <v>36.375</v>
      </c>
      <c r="J22" s="30">
        <f t="shared" si="1"/>
        <v>34</v>
      </c>
      <c r="K22" s="31">
        <f t="shared" si="2"/>
        <v>70.375</v>
      </c>
      <c r="L22" s="19"/>
      <c r="M22" s="19"/>
      <c r="N22" s="19"/>
      <c r="O22" s="19"/>
      <c r="P22" s="19"/>
      <c r="Q22" s="19"/>
      <c r="R22" s="19"/>
      <c r="S22" s="19"/>
      <c r="T22" s="19"/>
      <c r="U22" s="19"/>
      <c r="V22" s="19"/>
      <c r="W22" s="19"/>
      <c r="X22" s="20"/>
    </row>
    <row r="23" spans="4:24">
      <c r="D23" s="17"/>
      <c r="E23" s="28">
        <v>18</v>
      </c>
      <c r="F23" s="29" t="s">
        <v>18</v>
      </c>
      <c r="G23" s="29">
        <v>99</v>
      </c>
      <c r="H23" s="29">
        <v>60</v>
      </c>
      <c r="I23" s="30">
        <f t="shared" si="0"/>
        <v>45</v>
      </c>
      <c r="J23" s="30">
        <f t="shared" si="1"/>
        <v>39</v>
      </c>
      <c r="K23" s="31">
        <f t="shared" si="2"/>
        <v>84</v>
      </c>
      <c r="L23" s="19"/>
      <c r="M23" s="19"/>
      <c r="N23" s="19"/>
      <c r="O23" s="19"/>
      <c r="P23" s="19"/>
      <c r="Q23" s="19"/>
      <c r="R23" s="19"/>
      <c r="S23" s="19"/>
      <c r="T23" s="19"/>
      <c r="U23" s="19"/>
      <c r="V23" s="19"/>
      <c r="W23" s="19"/>
      <c r="X23" s="20"/>
    </row>
    <row r="24" spans="4:24">
      <c r="D24" s="17"/>
      <c r="E24" s="28">
        <v>19</v>
      </c>
      <c r="F24" s="29" t="s">
        <v>19</v>
      </c>
      <c r="G24" s="29">
        <v>115.5</v>
      </c>
      <c r="H24" s="29">
        <v>71.150000000000006</v>
      </c>
      <c r="I24" s="30">
        <f t="shared" si="0"/>
        <v>53.362500000000004</v>
      </c>
      <c r="J24" s="30">
        <f t="shared" si="1"/>
        <v>44.349999999999994</v>
      </c>
      <c r="K24" s="31">
        <f t="shared" si="2"/>
        <v>97.712500000000006</v>
      </c>
      <c r="L24" s="19"/>
      <c r="M24" s="19"/>
      <c r="N24" s="19"/>
      <c r="O24" s="19"/>
      <c r="P24" s="19"/>
      <c r="Q24" s="19"/>
      <c r="R24" s="19"/>
      <c r="S24" s="19"/>
      <c r="T24" s="19"/>
      <c r="U24" s="19"/>
      <c r="V24" s="19"/>
      <c r="W24" s="19"/>
      <c r="X24" s="20"/>
    </row>
    <row r="25" spans="4:24">
      <c r="D25" s="17"/>
      <c r="E25" s="32">
        <v>20</v>
      </c>
      <c r="F25" s="29" t="s">
        <v>20</v>
      </c>
      <c r="G25" s="29">
        <v>119</v>
      </c>
      <c r="H25" s="29">
        <v>72</v>
      </c>
      <c r="I25" s="30">
        <f t="shared" si="0"/>
        <v>54</v>
      </c>
      <c r="J25" s="30">
        <f t="shared" si="1"/>
        <v>47</v>
      </c>
      <c r="K25" s="31">
        <f t="shared" si="2"/>
        <v>101</v>
      </c>
      <c r="L25" s="19"/>
      <c r="M25" s="19"/>
      <c r="N25" s="19"/>
      <c r="O25" s="19"/>
      <c r="P25" s="19"/>
      <c r="Q25" s="19"/>
      <c r="R25" s="19"/>
      <c r="S25" s="19"/>
      <c r="T25" s="19"/>
      <c r="U25" s="19"/>
      <c r="V25" s="19"/>
      <c r="W25" s="19"/>
      <c r="X25" s="20"/>
    </row>
    <row r="26" spans="4:24">
      <c r="D26" s="17"/>
      <c r="E26" s="14"/>
      <c r="F26" s="19"/>
      <c r="G26" s="19"/>
      <c r="H26" s="19"/>
      <c r="I26" s="19"/>
      <c r="J26" s="19"/>
      <c r="K26" s="19"/>
      <c r="L26" s="19"/>
      <c r="M26" s="19"/>
      <c r="N26" s="19"/>
      <c r="O26" s="19"/>
      <c r="P26" s="19"/>
      <c r="Q26" s="19"/>
      <c r="R26" s="19"/>
      <c r="S26" s="19"/>
      <c r="T26" s="19"/>
      <c r="U26" s="19"/>
      <c r="V26" s="19"/>
      <c r="W26" s="19"/>
      <c r="X26" s="20"/>
    </row>
    <row r="27" spans="4:24">
      <c r="D27" s="17"/>
      <c r="E27" s="21" t="s">
        <v>64</v>
      </c>
      <c r="F27" s="19"/>
      <c r="G27" s="19"/>
      <c r="H27" s="19"/>
      <c r="I27" s="19"/>
      <c r="J27" s="19"/>
      <c r="K27" s="19"/>
      <c r="L27" s="19"/>
      <c r="M27" s="19"/>
      <c r="N27" s="19"/>
      <c r="O27" s="19"/>
      <c r="P27" s="19"/>
      <c r="Q27" s="19"/>
      <c r="R27" s="19"/>
      <c r="S27" s="19"/>
      <c r="T27" s="19"/>
      <c r="U27" s="19"/>
      <c r="V27" s="19"/>
      <c r="W27" s="19"/>
      <c r="X27" s="20"/>
    </row>
    <row r="28" spans="4:24">
      <c r="D28" s="17"/>
      <c r="E28" s="22"/>
      <c r="F28" s="33" t="s">
        <v>36</v>
      </c>
      <c r="G28" s="33" t="s">
        <v>92</v>
      </c>
      <c r="H28" s="33" t="s">
        <v>35</v>
      </c>
      <c r="I28" s="33" t="s">
        <v>93</v>
      </c>
      <c r="J28" s="33" t="s">
        <v>35</v>
      </c>
      <c r="K28" s="19"/>
      <c r="L28" s="19"/>
      <c r="M28" s="19"/>
      <c r="N28" s="19"/>
      <c r="O28" s="19"/>
      <c r="P28" s="19"/>
      <c r="Q28" s="19"/>
      <c r="R28" s="19"/>
      <c r="S28" s="19"/>
      <c r="T28" s="19"/>
      <c r="U28" s="19"/>
      <c r="V28" s="19"/>
      <c r="W28" s="19"/>
      <c r="X28" s="20"/>
    </row>
    <row r="29" spans="4:24" ht="58.5" customHeight="1">
      <c r="D29" s="17"/>
      <c r="E29" s="29" t="s">
        <v>107</v>
      </c>
      <c r="F29" s="34">
        <v>41426</v>
      </c>
      <c r="G29" s="30">
        <f>INDEX(CPI!$B:$B,MATCH($F29,CPI!$A:$A,0))</f>
        <v>100.7</v>
      </c>
      <c r="H29" s="29"/>
      <c r="I29" s="30">
        <f>INDEX(CPI!$C:$C,MATCH($F29,CPI!$A:$A,0))</f>
        <v>105</v>
      </c>
      <c r="J29" s="29"/>
      <c r="K29" s="19"/>
      <c r="L29" s="19"/>
      <c r="M29" s="19"/>
      <c r="N29" s="19"/>
      <c r="O29" s="19"/>
      <c r="P29" s="19"/>
      <c r="Q29" s="19"/>
      <c r="R29" s="19"/>
      <c r="S29" s="19"/>
      <c r="T29" s="19"/>
      <c r="U29" s="19"/>
      <c r="V29" s="19"/>
      <c r="W29" s="19"/>
      <c r="X29" s="20"/>
    </row>
    <row r="30" spans="4:24" ht="37.5" customHeight="1">
      <c r="D30" s="17"/>
      <c r="E30" s="29" t="s">
        <v>106</v>
      </c>
      <c r="F30" s="34">
        <v>41791</v>
      </c>
      <c r="G30" s="30">
        <f>INDEX(CPI!$B:$B,MATCH($F30,CPI!$A:$A,0))</f>
        <v>101.9</v>
      </c>
      <c r="H30" s="35">
        <f>(G30/$G$29)-1</f>
        <v>1.1916583912611856E-2</v>
      </c>
      <c r="I30" s="30">
        <f>INDEX(CPI!$C:$C,MATCH($F30,CPI!$A:$A,0))</f>
        <v>107.5</v>
      </c>
      <c r="J30" s="35">
        <f>(I30/$I$29)-1</f>
        <v>2.3809523809523725E-2</v>
      </c>
      <c r="K30" s="19"/>
      <c r="L30" s="19"/>
      <c r="M30" s="19"/>
      <c r="N30" s="19"/>
      <c r="O30" s="19"/>
      <c r="P30" s="19"/>
      <c r="Q30" s="19"/>
      <c r="R30" s="19"/>
      <c r="S30" s="19"/>
      <c r="T30" s="19"/>
      <c r="U30" s="19"/>
      <c r="V30" s="19"/>
      <c r="W30" s="19"/>
      <c r="X30" s="20"/>
    </row>
    <row r="31" spans="4:24">
      <c r="D31" s="17"/>
      <c r="E31" s="29" t="s">
        <v>54</v>
      </c>
      <c r="F31" s="34">
        <v>42156</v>
      </c>
      <c r="G31" s="30">
        <f>INDEX(CPI!$B:$B,MATCH($F31,CPI!$A:$A,0))</f>
        <v>99.7</v>
      </c>
      <c r="H31" s="35">
        <f t="shared" ref="H31:H38" si="3">(G31/$G$29)-1</f>
        <v>-9.930486593843102E-3</v>
      </c>
      <c r="I31" s="30">
        <f>INDEX(CPI!$C:$C,MATCH($F31,CPI!$A:$A,0))</f>
        <v>106.4</v>
      </c>
      <c r="J31" s="35">
        <f t="shared" ref="J31:J38" si="4">(I31/$I$29)-1</f>
        <v>1.3333333333333419E-2</v>
      </c>
      <c r="K31" s="19"/>
      <c r="L31" s="19"/>
      <c r="M31" s="19"/>
      <c r="N31" s="19"/>
      <c r="O31" s="19"/>
      <c r="P31" s="19"/>
      <c r="Q31" s="19"/>
      <c r="R31" s="19"/>
      <c r="S31" s="19"/>
      <c r="T31" s="19"/>
      <c r="U31" s="19"/>
      <c r="V31" s="19"/>
      <c r="W31" s="19"/>
      <c r="X31" s="20"/>
    </row>
    <row r="32" spans="4:24">
      <c r="D32" s="17"/>
      <c r="E32" s="29" t="s">
        <v>55</v>
      </c>
      <c r="F32" s="34">
        <v>42522</v>
      </c>
      <c r="G32" s="30">
        <f>INDEX(CPI!$B:$B,MATCH($F32,CPI!$A:$A,0))</f>
        <v>95.9</v>
      </c>
      <c r="H32" s="35">
        <f t="shared" si="3"/>
        <v>-4.7666335650446867E-2</v>
      </c>
      <c r="I32" s="30">
        <f>INDEX(CPI!$C:$C,MATCH($F32,CPI!$A:$A,0))</f>
        <v>105.9</v>
      </c>
      <c r="J32" s="35">
        <f t="shared" si="4"/>
        <v>8.5714285714286742E-3</v>
      </c>
      <c r="K32" s="19"/>
      <c r="L32" s="19"/>
      <c r="M32" s="19"/>
      <c r="N32" s="19"/>
      <c r="O32" s="19"/>
      <c r="P32" s="19"/>
      <c r="Q32" s="19"/>
      <c r="R32" s="19"/>
      <c r="S32" s="19"/>
      <c r="T32" s="19"/>
      <c r="U32" s="19"/>
      <c r="V32" s="19"/>
      <c r="W32" s="19"/>
      <c r="X32" s="20"/>
    </row>
    <row r="33" spans="4:24">
      <c r="D33" s="17"/>
      <c r="E33" s="29" t="s">
        <v>56</v>
      </c>
      <c r="F33" s="34">
        <v>42887</v>
      </c>
      <c r="G33" s="30">
        <f>INDEX(CPI!$B:$B,MATCH($F33,CPI!$A:$A,0))</f>
        <v>97.9</v>
      </c>
      <c r="H33" s="35">
        <f t="shared" si="3"/>
        <v>-2.7805362462760663E-2</v>
      </c>
      <c r="I33" s="30">
        <f>INDEX(CPI!$C:$C,MATCH($F33,CPI!$A:$A,0))</f>
        <v>106.9</v>
      </c>
      <c r="J33" s="35">
        <f t="shared" si="4"/>
        <v>1.8095238095238164E-2</v>
      </c>
      <c r="K33" s="19"/>
      <c r="L33" s="19"/>
      <c r="M33" s="19"/>
      <c r="N33" s="19"/>
      <c r="O33" s="19"/>
      <c r="P33" s="19"/>
      <c r="Q33" s="19"/>
      <c r="R33" s="19"/>
      <c r="S33" s="19"/>
      <c r="T33" s="19"/>
      <c r="U33" s="19"/>
      <c r="V33" s="19"/>
      <c r="W33" s="19"/>
      <c r="X33" s="20"/>
    </row>
    <row r="34" spans="4:24">
      <c r="D34" s="17"/>
      <c r="E34" s="29" t="s">
        <v>57</v>
      </c>
      <c r="F34" s="34">
        <v>43252</v>
      </c>
      <c r="G34" s="30">
        <f>INDEX(CPI!$B:$B,MATCH($F34,CPI!$A:$A,0))</f>
        <v>102.2</v>
      </c>
      <c r="H34" s="35">
        <f t="shared" si="3"/>
        <v>1.4895729890764597E-2</v>
      </c>
      <c r="I34" s="30">
        <f>INDEX(CPI!$C:$C,MATCH($F34,CPI!$A:$A,0))</f>
        <v>109.8</v>
      </c>
      <c r="J34" s="35">
        <f t="shared" si="4"/>
        <v>4.5714285714285596E-2</v>
      </c>
      <c r="K34" s="19"/>
      <c r="L34" s="19"/>
      <c r="M34" s="19"/>
      <c r="N34" s="19"/>
      <c r="O34" s="19"/>
      <c r="P34" s="19"/>
      <c r="Q34" s="19"/>
      <c r="R34" s="19"/>
      <c r="S34" s="19"/>
      <c r="T34" s="19"/>
      <c r="U34" s="19"/>
      <c r="V34" s="19"/>
      <c r="W34" s="19"/>
      <c r="X34" s="20"/>
    </row>
    <row r="35" spans="4:24">
      <c r="D35" s="17"/>
      <c r="E35" s="29" t="s">
        <v>58</v>
      </c>
      <c r="F35" s="34">
        <v>43617</v>
      </c>
      <c r="G35" s="164">
        <v>104.2</v>
      </c>
      <c r="H35" s="35">
        <f t="shared" si="3"/>
        <v>3.4756703078450801E-2</v>
      </c>
      <c r="I35" s="164">
        <v>112.2</v>
      </c>
      <c r="J35" s="35">
        <f t="shared" si="4"/>
        <v>6.8571428571428505E-2</v>
      </c>
      <c r="K35" s="19"/>
      <c r="L35" s="19"/>
      <c r="M35" s="19"/>
      <c r="N35" s="19"/>
      <c r="O35" s="19"/>
      <c r="P35" s="19"/>
      <c r="Q35" s="19"/>
      <c r="R35" s="19"/>
      <c r="S35" s="19"/>
      <c r="T35" s="19"/>
      <c r="U35" s="19"/>
      <c r="V35" s="19"/>
      <c r="W35" s="19"/>
      <c r="X35" s="20"/>
    </row>
    <row r="36" spans="4:24">
      <c r="D36" s="17"/>
      <c r="E36" s="29" t="s">
        <v>189</v>
      </c>
      <c r="F36" s="34">
        <v>43983</v>
      </c>
      <c r="G36" s="165">
        <v>96.8</v>
      </c>
      <c r="H36" s="35">
        <f t="shared" si="3"/>
        <v>-3.8728897715988087E-2</v>
      </c>
      <c r="I36" s="165">
        <v>113.1</v>
      </c>
      <c r="J36" s="35">
        <f t="shared" si="4"/>
        <v>7.714285714285718E-2</v>
      </c>
      <c r="K36" s="19"/>
      <c r="L36" s="19"/>
      <c r="M36" s="19"/>
      <c r="N36" s="19"/>
      <c r="O36" s="19"/>
      <c r="P36" s="19"/>
      <c r="Q36" s="19"/>
      <c r="R36" s="19"/>
      <c r="S36" s="19"/>
      <c r="T36" s="19"/>
      <c r="U36" s="19"/>
      <c r="V36" s="19"/>
      <c r="W36" s="19"/>
      <c r="X36" s="20"/>
    </row>
    <row r="37" spans="4:24">
      <c r="D37" s="17"/>
      <c r="E37" s="29" t="s">
        <v>190</v>
      </c>
      <c r="F37" s="34">
        <v>44348</v>
      </c>
      <c r="G37" s="165">
        <v>108.2</v>
      </c>
      <c r="H37" s="35">
        <f t="shared" si="3"/>
        <v>7.4478649453823209E-2</v>
      </c>
      <c r="I37" s="165">
        <v>114</v>
      </c>
      <c r="J37" s="35">
        <f t="shared" si="4"/>
        <v>8.5714285714285632E-2</v>
      </c>
      <c r="K37" s="19"/>
      <c r="L37" s="19"/>
      <c r="M37" s="19"/>
      <c r="N37" s="19"/>
      <c r="O37" s="19"/>
      <c r="P37" s="19"/>
      <c r="Q37" s="19"/>
      <c r="R37" s="19"/>
      <c r="S37" s="19"/>
      <c r="T37" s="19"/>
      <c r="U37" s="19"/>
      <c r="V37" s="19"/>
      <c r="W37" s="19"/>
      <c r="X37" s="20"/>
    </row>
    <row r="38" spans="4:24">
      <c r="D38" s="17"/>
      <c r="E38" s="36" t="s">
        <v>191</v>
      </c>
      <c r="F38" s="34">
        <v>44713</v>
      </c>
      <c r="G38" s="164">
        <v>121.7</v>
      </c>
      <c r="H38" s="35">
        <f t="shared" si="3"/>
        <v>0.20854021847070503</v>
      </c>
      <c r="I38" s="164">
        <v>123.5</v>
      </c>
      <c r="J38" s="35">
        <f t="shared" si="4"/>
        <v>0.17619047619047623</v>
      </c>
      <c r="K38" s="19"/>
      <c r="L38" s="19"/>
      <c r="M38" s="19"/>
      <c r="N38" s="19"/>
      <c r="O38" s="19"/>
      <c r="P38" s="19"/>
      <c r="Q38" s="19"/>
      <c r="R38" s="19"/>
      <c r="S38" s="19"/>
      <c r="T38" s="19"/>
      <c r="U38" s="19"/>
      <c r="V38" s="19"/>
      <c r="W38" s="19"/>
      <c r="X38" s="20"/>
    </row>
    <row r="39" spans="4:24">
      <c r="D39" s="17"/>
      <c r="E39" s="19" t="s">
        <v>169</v>
      </c>
      <c r="F39" s="19"/>
      <c r="G39" s="19"/>
      <c r="H39" s="37">
        <f>SUMIF('Additional inputs'!$E$31:$E$38,Calculator!$D$13,'Additional inputs'!$H$31:$H$38)</f>
        <v>0.20854021847070503</v>
      </c>
      <c r="I39" s="38"/>
      <c r="J39" s="37">
        <f>SUMIF('Additional inputs'!$E$31:$E$38,Calculator!$D$13,'Additional inputs'!$J$31:$J$38)</f>
        <v>0.17619047619047623</v>
      </c>
      <c r="K39" s="19"/>
      <c r="L39" s="19"/>
      <c r="M39" s="19"/>
      <c r="N39" s="19"/>
      <c r="O39" s="19"/>
      <c r="P39" s="19"/>
      <c r="Q39" s="19"/>
      <c r="R39" s="19"/>
      <c r="S39" s="19"/>
      <c r="T39" s="19"/>
      <c r="U39" s="19"/>
      <c r="V39" s="19"/>
      <c r="W39" s="19"/>
      <c r="X39" s="20"/>
    </row>
    <row r="40" spans="4:24">
      <c r="D40" s="17"/>
      <c r="E40" s="19"/>
      <c r="F40" s="19"/>
      <c r="G40" s="19"/>
      <c r="H40" s="82"/>
      <c r="I40" s="38"/>
      <c r="J40" s="82"/>
      <c r="K40" s="19"/>
      <c r="L40" s="19"/>
      <c r="M40" s="19"/>
      <c r="N40" s="19"/>
      <c r="O40" s="19"/>
      <c r="P40" s="19"/>
      <c r="Q40" s="19"/>
      <c r="R40" s="19"/>
      <c r="S40" s="19"/>
      <c r="T40" s="19"/>
      <c r="U40" s="19"/>
      <c r="V40" s="19"/>
      <c r="W40" s="19"/>
      <c r="X40" s="20"/>
    </row>
    <row r="41" spans="4:24">
      <c r="D41" s="17"/>
      <c r="E41" s="19"/>
      <c r="F41" s="19"/>
      <c r="G41" s="19"/>
      <c r="H41" s="82"/>
      <c r="I41" s="38"/>
      <c r="J41" s="82"/>
      <c r="K41" s="19"/>
      <c r="L41" s="19"/>
      <c r="M41" s="19"/>
      <c r="N41" s="19"/>
      <c r="O41" s="19"/>
      <c r="P41" s="19"/>
      <c r="Q41" s="19"/>
      <c r="R41" s="19"/>
      <c r="S41" s="19"/>
      <c r="T41" s="19"/>
      <c r="U41" s="19"/>
      <c r="V41" s="19"/>
      <c r="W41" s="19"/>
      <c r="X41" s="20"/>
    </row>
    <row r="42" spans="4:24">
      <c r="D42" s="17"/>
      <c r="E42" s="21" t="s">
        <v>87</v>
      </c>
      <c r="F42" s="19"/>
      <c r="G42" s="19"/>
      <c r="H42" s="19"/>
      <c r="I42" s="19"/>
      <c r="J42" s="19"/>
      <c r="K42" s="19"/>
      <c r="L42" s="19"/>
      <c r="M42" s="19"/>
      <c r="N42" s="19"/>
      <c r="O42" s="19"/>
      <c r="P42" s="19"/>
      <c r="Q42" s="19"/>
      <c r="R42" s="19"/>
      <c r="S42" s="19"/>
      <c r="T42" s="19"/>
      <c r="U42" s="19"/>
      <c r="V42" s="19"/>
      <c r="W42" s="19"/>
      <c r="X42" s="20"/>
    </row>
    <row r="43" spans="4:24">
      <c r="D43" s="17"/>
      <c r="E43" s="83" t="s">
        <v>67</v>
      </c>
      <c r="F43" s="23" t="s">
        <v>13</v>
      </c>
      <c r="G43" s="23" t="s">
        <v>27</v>
      </c>
      <c r="H43" s="23" t="s">
        <v>28</v>
      </c>
      <c r="I43" s="23" t="s">
        <v>29</v>
      </c>
      <c r="J43" s="23" t="s">
        <v>30</v>
      </c>
      <c r="K43" s="23" t="s">
        <v>31</v>
      </c>
      <c r="L43" s="23" t="s">
        <v>32</v>
      </c>
      <c r="M43" s="23" t="s">
        <v>33</v>
      </c>
      <c r="N43" s="19"/>
      <c r="O43" s="19"/>
      <c r="P43" s="19"/>
      <c r="Q43" s="19"/>
      <c r="R43" s="19"/>
      <c r="S43" s="19"/>
      <c r="T43" s="19"/>
      <c r="U43" s="19"/>
      <c r="V43" s="19"/>
      <c r="W43" s="19"/>
      <c r="X43" s="20"/>
    </row>
    <row r="44" spans="4:24">
      <c r="D44" s="17"/>
      <c r="E44" s="28">
        <v>1</v>
      </c>
      <c r="F44" s="39" t="s">
        <v>0</v>
      </c>
      <c r="G44" s="39">
        <f>SUMIFS(basevoc_col,grad_col,Calculator!$E$7,curv_col,Calculator!$F$7,vehclass_col,'Additional inputs'!$E44)</f>
        <v>22.32029</v>
      </c>
      <c r="H44" s="39">
        <f>SUMIFS(k_one, grad_col,Calculator!$E$7,curv_col,Calculator!$F$7,vehclass_col,'Additional inputs'!$E44)</f>
        <v>0.638351</v>
      </c>
      <c r="I44" s="39">
        <f>SUMIFS(k2_col,grad_col,Calculator!$E$7,curv_col,Calculator!$F$7,vehclass_col,'Additional inputs'!$E44)</f>
        <v>8.4575619999999994</v>
      </c>
      <c r="J44" s="39">
        <f>SUMIFS(k3_col,grad_col,Calculator!$E$7,curv_col,Calculator!$F$7,vehclass_col,'Additional inputs'!$E44)</f>
        <v>1.2300000000000001E-5</v>
      </c>
      <c r="K44" s="39">
        <f>SUMIFS(k4_col,grad_col,Calculator!$E$7,curv_col,Calculator!$F$7,vehclass_col,'Additional inputs'!$E44)</f>
        <v>2.7831000000000002E-2</v>
      </c>
      <c r="L44" s="39">
        <f>SUMIFS(k5_col,grad_col,Calculator!$E$7,curv_col,Calculator!$F$7,vehclass_col,'Additional inputs'!$E44)</f>
        <v>7.7800000000000005E-4</v>
      </c>
      <c r="M44" s="39">
        <f>SUMIFS(k6_col,grad_col,Calculator!$E$7,curv_col,Calculator!$F$7,vehclass_col,'Additional inputs'!$E44)</f>
        <v>0.143898</v>
      </c>
      <c r="N44" s="19"/>
      <c r="O44" s="19"/>
      <c r="P44" s="19"/>
      <c r="Q44" s="19"/>
      <c r="R44" s="19"/>
      <c r="S44" s="19"/>
      <c r="T44" s="19"/>
      <c r="U44" s="19"/>
      <c r="V44" s="19"/>
      <c r="W44" s="19"/>
      <c r="X44" s="20"/>
    </row>
    <row r="45" spans="4:24">
      <c r="D45" s="17"/>
      <c r="E45" s="28">
        <v>2</v>
      </c>
      <c r="F45" s="39" t="s">
        <v>1</v>
      </c>
      <c r="G45" s="39">
        <f>SUMIFS(basevoc_col,grad_col,Calculator!$E$7,curv_col,Calculator!$F$7,vehclass_col,'Additional inputs'!$E45)</f>
        <v>29.547080000000001</v>
      </c>
      <c r="H45" s="39">
        <f>SUMIFS(k_one, grad_col,Calculator!$E$7,curv_col,Calculator!$F$7,vehclass_col,'Additional inputs'!$E45)</f>
        <v>0.64792099999999997</v>
      </c>
      <c r="I45" s="39">
        <f>SUMIFS(k2_col,grad_col,Calculator!$E$7,curv_col,Calculator!$F$7,vehclass_col,'Additional inputs'!$E45)</f>
        <v>9.6066109999999991</v>
      </c>
      <c r="J45" s="39">
        <f>SUMIFS(k3_col,grad_col,Calculator!$E$7,curv_col,Calculator!$F$7,vehclass_col,'Additional inputs'!$E45)</f>
        <v>7.5000000000000002E-6</v>
      </c>
      <c r="K45" s="39">
        <f>SUMIFS(k4_col,grad_col,Calculator!$E$7,curv_col,Calculator!$F$7,vehclass_col,'Additional inputs'!$E45)</f>
        <v>2.5998E-2</v>
      </c>
      <c r="L45" s="39">
        <f>SUMIFS(k5_col,grad_col,Calculator!$E$7,curv_col,Calculator!$F$7,vehclass_col,'Additional inputs'!$E45)</f>
        <v>8.8500000000000004E-4</v>
      </c>
      <c r="M45" s="39">
        <f>SUMIFS(k6_col,grad_col,Calculator!$E$7,curv_col,Calculator!$F$7,vehclass_col,'Additional inputs'!$E45)</f>
        <v>0.118559</v>
      </c>
      <c r="N45" s="19"/>
      <c r="O45" s="19"/>
      <c r="P45" s="19"/>
      <c r="Q45" s="19"/>
      <c r="R45" s="19"/>
      <c r="S45" s="19"/>
      <c r="T45" s="19"/>
      <c r="U45" s="19"/>
      <c r="V45" s="19"/>
      <c r="W45" s="19"/>
      <c r="X45" s="20"/>
    </row>
    <row r="46" spans="4:24">
      <c r="D46" s="17"/>
      <c r="E46" s="28">
        <v>3</v>
      </c>
      <c r="F46" s="39" t="s">
        <v>2</v>
      </c>
      <c r="G46" s="39">
        <f>SUMIFS(basevoc_col,grad_col,Calculator!$E$7,curv_col,Calculator!$F$7,vehclass_col,'Additional inputs'!$E46)</f>
        <v>38.528599999999997</v>
      </c>
      <c r="H46" s="39">
        <f>SUMIFS(k_one, grad_col,Calculator!$E$7,curv_col,Calculator!$F$7,vehclass_col,'Additional inputs'!$E46)</f>
        <v>0.66870499999999999</v>
      </c>
      <c r="I46" s="39">
        <f>SUMIFS(k2_col,grad_col,Calculator!$E$7,curv_col,Calculator!$F$7,vehclass_col,'Additional inputs'!$E46)</f>
        <v>10.234590000000001</v>
      </c>
      <c r="J46" s="39">
        <f>SUMIFS(k3_col,grad_col,Calculator!$E$7,curv_col,Calculator!$F$7,vehclass_col,'Additional inputs'!$E46)</f>
        <v>6.1500000000000004E-6</v>
      </c>
      <c r="K46" s="39">
        <f>SUMIFS(k4_col,grad_col,Calculator!$E$7,curv_col,Calculator!$F$7,vehclass_col,'Additional inputs'!$E46)</f>
        <v>2.3210000000000001E-2</v>
      </c>
      <c r="L46" s="39">
        <f>SUMIFS(k5_col,grad_col,Calculator!$E$7,curv_col,Calculator!$F$7,vehclass_col,'Additional inputs'!$E46)</f>
        <v>9.5E-4</v>
      </c>
      <c r="M46" s="39">
        <f>SUMIFS(k6_col,grad_col,Calculator!$E$7,curv_col,Calculator!$F$7,vehclass_col,'Additional inputs'!$E46)</f>
        <v>8.6985999999999994E-2</v>
      </c>
      <c r="N46" s="19"/>
      <c r="O46" s="19"/>
      <c r="P46" s="19"/>
      <c r="Q46" s="19"/>
      <c r="R46" s="19"/>
      <c r="S46" s="19"/>
      <c r="T46" s="19"/>
      <c r="U46" s="19"/>
      <c r="V46" s="19"/>
      <c r="W46" s="19"/>
      <c r="X46" s="20"/>
    </row>
    <row r="47" spans="4:24">
      <c r="D47" s="17"/>
      <c r="E47" s="28">
        <v>4</v>
      </c>
      <c r="F47" s="39" t="s">
        <v>3</v>
      </c>
      <c r="G47" s="39">
        <f>SUMIFS(basevoc_col,grad_col,Calculator!$E$7,curv_col,Calculator!$F$7,vehclass_col,'Additional inputs'!$E47)</f>
        <v>34.397069999999999</v>
      </c>
      <c r="H47" s="39">
        <f>SUMIFS(k_one, grad_col,Calculator!$E$7,curv_col,Calculator!$F$7,vehclass_col,'Additional inputs'!$E47)</f>
        <v>0.66520299999999999</v>
      </c>
      <c r="I47" s="39">
        <f>SUMIFS(k2_col,grad_col,Calculator!$E$7,curv_col,Calculator!$F$7,vehclass_col,'Additional inputs'!$E47)</f>
        <v>6.1687529999999997</v>
      </c>
      <c r="J47" s="39">
        <f>SUMIFS(k3_col,grad_col,Calculator!$E$7,curv_col,Calculator!$F$7,vehclass_col,'Additional inputs'!$E47)</f>
        <v>-2.5000000000000002E-6</v>
      </c>
      <c r="K47" s="39">
        <f>SUMIFS(k4_col,grad_col,Calculator!$E$7,curv_col,Calculator!$F$7,vehclass_col,'Additional inputs'!$E47)</f>
        <v>3.7322000000000001E-2</v>
      </c>
      <c r="L47" s="39">
        <f>SUMIFS(k5_col,grad_col,Calculator!$E$7,curv_col,Calculator!$F$7,vehclass_col,'Additional inputs'!$E47)</f>
        <v>2.2959999999999999E-3</v>
      </c>
      <c r="M47" s="39">
        <f>SUMIFS(k6_col,grad_col,Calculator!$E$7,curv_col,Calculator!$F$7,vehclass_col,'Additional inputs'!$E47)</f>
        <v>0.122428</v>
      </c>
      <c r="N47" s="19"/>
      <c r="O47" s="19"/>
      <c r="P47" s="19"/>
      <c r="Q47" s="19"/>
      <c r="R47" s="19"/>
      <c r="S47" s="19"/>
      <c r="T47" s="19"/>
      <c r="U47" s="19"/>
      <c r="V47" s="19"/>
      <c r="W47" s="19"/>
      <c r="X47" s="20"/>
    </row>
    <row r="48" spans="4:24">
      <c r="D48" s="17"/>
      <c r="E48" s="28">
        <v>5</v>
      </c>
      <c r="F48" s="39" t="s">
        <v>4</v>
      </c>
      <c r="G48" s="39">
        <f>SUMIFS(basevoc_col,grad_col,Calculator!$E$7,curv_col,Calculator!$F$7,vehclass_col,'Additional inputs'!$E48)</f>
        <v>37.446640000000002</v>
      </c>
      <c r="H48" s="39">
        <f>SUMIFS(k_one, grad_col,Calculator!$E$7,curv_col,Calculator!$F$7,vehclass_col,'Additional inputs'!$E48)</f>
        <v>0.65381599999999995</v>
      </c>
      <c r="I48" s="39">
        <f>SUMIFS(k2_col,grad_col,Calculator!$E$7,curv_col,Calculator!$F$7,vehclass_col,'Additional inputs'!$E48)</f>
        <v>6.2749189999999997</v>
      </c>
      <c r="J48" s="39">
        <f>SUMIFS(k3_col,grad_col,Calculator!$E$7,curv_col,Calculator!$F$7,vehclass_col,'Additional inputs'!$E48)</f>
        <v>3.18E-6</v>
      </c>
      <c r="K48" s="39">
        <f>SUMIFS(k4_col,grad_col,Calculator!$E$7,curv_col,Calculator!$F$7,vehclass_col,'Additional inputs'!$E48)</f>
        <v>3.2932999999999997E-2</v>
      </c>
      <c r="L48" s="39">
        <f>SUMIFS(k5_col,grad_col,Calculator!$E$7,curv_col,Calculator!$F$7,vehclass_col,'Additional inputs'!$E48)</f>
        <v>1.9469999999999999E-3</v>
      </c>
      <c r="M48" s="39">
        <f>SUMIFS(k6_col,grad_col,Calculator!$E$7,curv_col,Calculator!$F$7,vehclass_col,'Additional inputs'!$E48)</f>
        <v>8.3960999999999994E-2</v>
      </c>
      <c r="N48" s="19"/>
      <c r="O48" s="19"/>
      <c r="P48" s="19"/>
      <c r="Q48" s="19"/>
      <c r="R48" s="19"/>
      <c r="S48" s="19"/>
      <c r="T48" s="19"/>
      <c r="U48" s="19"/>
      <c r="V48" s="19"/>
      <c r="W48" s="19"/>
      <c r="X48" s="20"/>
    </row>
    <row r="49" spans="4:24">
      <c r="D49" s="17"/>
      <c r="E49" s="28">
        <v>6</v>
      </c>
      <c r="F49" s="39" t="s">
        <v>5</v>
      </c>
      <c r="G49" s="39">
        <f>SUMIFS(basevoc_col,grad_col,Calculator!$E$7,curv_col,Calculator!$F$7,vehclass_col,'Additional inputs'!$E49)</f>
        <v>48.324190000000002</v>
      </c>
      <c r="H49" s="39">
        <f>SUMIFS(k_one, grad_col,Calculator!$E$7,curv_col,Calculator!$F$7,vehclass_col,'Additional inputs'!$E49)</f>
        <v>0.63358099999999995</v>
      </c>
      <c r="I49" s="39">
        <f>SUMIFS(k2_col,grad_col,Calculator!$E$7,curv_col,Calculator!$F$7,vehclass_col,'Additional inputs'!$E49)</f>
        <v>5.2055660000000001</v>
      </c>
      <c r="J49" s="39">
        <f>SUMIFS(k3_col,grad_col,Calculator!$E$7,curv_col,Calculator!$F$7,vehclass_col,'Additional inputs'!$E49)</f>
        <v>6.1299999999999998E-6</v>
      </c>
      <c r="K49" s="39">
        <f>SUMIFS(k4_col,grad_col,Calculator!$E$7,curv_col,Calculator!$F$7,vehclass_col,'Additional inputs'!$E49)</f>
        <v>3.8719000000000003E-2</v>
      </c>
      <c r="L49" s="39">
        <f>SUMIFS(k5_col,grad_col,Calculator!$E$7,curv_col,Calculator!$F$7,vehclass_col,'Additional inputs'!$E49)</f>
        <v>1.833E-3</v>
      </c>
      <c r="M49" s="39">
        <f>SUMIFS(k6_col,grad_col,Calculator!$E$7,curv_col,Calculator!$F$7,vehclass_col,'Additional inputs'!$E49)</f>
        <v>8.9416999999999996E-2</v>
      </c>
      <c r="N49" s="19"/>
      <c r="O49" s="19"/>
      <c r="P49" s="19"/>
      <c r="Q49" s="19"/>
      <c r="R49" s="19"/>
      <c r="S49" s="19"/>
      <c r="T49" s="19"/>
      <c r="U49" s="19"/>
      <c r="V49" s="19"/>
      <c r="W49" s="19"/>
      <c r="X49" s="20"/>
    </row>
    <row r="50" spans="4:24">
      <c r="D50" s="17"/>
      <c r="E50" s="28">
        <v>7</v>
      </c>
      <c r="F50" s="39" t="s">
        <v>6</v>
      </c>
      <c r="G50" s="39">
        <f>SUMIFS(basevoc_col,grad_col,Calculator!$E$7,curv_col,Calculator!$F$7,vehclass_col,'Additional inputs'!$E50)</f>
        <v>55.73066</v>
      </c>
      <c r="H50" s="39">
        <f>SUMIFS(k_one, grad_col,Calculator!$E$7,curv_col,Calculator!$F$7,vehclass_col,'Additional inputs'!$E50)</f>
        <v>0.55671499999999996</v>
      </c>
      <c r="I50" s="39">
        <f>SUMIFS(k2_col,grad_col,Calculator!$E$7,curv_col,Calculator!$F$7,vehclass_col,'Additional inputs'!$E50)</f>
        <v>7.6472879999999996</v>
      </c>
      <c r="J50" s="39">
        <f>SUMIFS(k3_col,grad_col,Calculator!$E$7,curv_col,Calculator!$F$7,vehclass_col,'Additional inputs'!$E50)</f>
        <v>6.7599999999999997E-6</v>
      </c>
      <c r="K50" s="39">
        <f>SUMIFS(k4_col,grad_col,Calculator!$E$7,curv_col,Calculator!$F$7,vehclass_col,'Additional inputs'!$E50)</f>
        <v>3.3555000000000001E-2</v>
      </c>
      <c r="L50" s="39">
        <f>SUMIFS(k5_col,grad_col,Calculator!$E$7,curv_col,Calculator!$F$7,vehclass_col,'Additional inputs'!$E50)</f>
        <v>1.7309999999999999E-3</v>
      </c>
      <c r="M50" s="39">
        <f>SUMIFS(k6_col,grad_col,Calculator!$E$7,curv_col,Calculator!$F$7,vehclass_col,'Additional inputs'!$E50)</f>
        <v>6.2743999999999994E-2</v>
      </c>
      <c r="N50" s="19"/>
      <c r="O50" s="19"/>
      <c r="P50" s="19"/>
      <c r="Q50" s="19"/>
      <c r="R50" s="19"/>
      <c r="S50" s="19"/>
      <c r="T50" s="19"/>
      <c r="U50" s="19"/>
      <c r="V50" s="19"/>
      <c r="W50" s="19"/>
      <c r="X50" s="20"/>
    </row>
    <row r="51" spans="4:24">
      <c r="D51" s="17"/>
      <c r="E51" s="28">
        <v>8</v>
      </c>
      <c r="F51" s="39" t="s">
        <v>7</v>
      </c>
      <c r="G51" s="39">
        <f>SUMIFS(basevoc_col,grad_col,Calculator!$E$7,curv_col,Calculator!$F$7,vehclass_col,'Additional inputs'!$E51)</f>
        <v>87.044160000000005</v>
      </c>
      <c r="H51" s="39">
        <f>SUMIFS(k_one, grad_col,Calculator!$E$7,curv_col,Calculator!$F$7,vehclass_col,'Additional inputs'!$E51)</f>
        <v>0.32662799999999997</v>
      </c>
      <c r="I51" s="39">
        <f>SUMIFS(k2_col,grad_col,Calculator!$E$7,curv_col,Calculator!$F$7,vehclass_col,'Additional inputs'!$E51)</f>
        <v>7.8407150000000003</v>
      </c>
      <c r="J51" s="39">
        <f>SUMIFS(k3_col,grad_col,Calculator!$E$7,curv_col,Calculator!$F$7,vehclass_col,'Additional inputs'!$E51)</f>
        <v>-8.2000000000000006E-8</v>
      </c>
      <c r="K51" s="39">
        <f>SUMIFS(k4_col,grad_col,Calculator!$E$7,curv_col,Calculator!$F$7,vehclass_col,'Additional inputs'!$E51)</f>
        <v>5.8713000000000001E-2</v>
      </c>
      <c r="L51" s="39">
        <f>SUMIFS(k5_col,grad_col,Calculator!$E$7,curv_col,Calculator!$F$7,vehclass_col,'Additional inputs'!$E51)</f>
        <v>3.7300000000000001E-4</v>
      </c>
      <c r="M51" s="39">
        <f>SUMIFS(k6_col,grad_col,Calculator!$E$7,curv_col,Calculator!$F$7,vehclass_col,'Additional inputs'!$E51)</f>
        <v>4.5384000000000001E-2</v>
      </c>
      <c r="N51" s="19"/>
      <c r="O51" s="19"/>
      <c r="P51" s="19"/>
      <c r="Q51" s="19"/>
      <c r="R51" s="19"/>
      <c r="S51" s="19"/>
      <c r="T51" s="19"/>
      <c r="U51" s="19"/>
      <c r="V51" s="19"/>
      <c r="W51" s="19"/>
      <c r="X51" s="20"/>
    </row>
    <row r="52" spans="4:24">
      <c r="D52" s="17"/>
      <c r="E52" s="28">
        <v>9</v>
      </c>
      <c r="F52" s="39" t="s">
        <v>8</v>
      </c>
      <c r="G52" s="39">
        <f>SUMIFS(basevoc_col,grad_col,Calculator!$E$7,curv_col,Calculator!$F$7,vehclass_col,'Additional inputs'!$E52)</f>
        <v>130.92590000000001</v>
      </c>
      <c r="H52" s="39">
        <f>SUMIFS(k_one, grad_col,Calculator!$E$7,curv_col,Calculator!$F$7,vehclass_col,'Additional inputs'!$E52)</f>
        <v>0.51756899999999995</v>
      </c>
      <c r="I52" s="39">
        <f>SUMIFS(k2_col,grad_col,Calculator!$E$7,curv_col,Calculator!$F$7,vehclass_col,'Additional inputs'!$E52)</f>
        <v>5.3742089999999996</v>
      </c>
      <c r="J52" s="39">
        <f>SUMIFS(k3_col,grad_col,Calculator!$E$7,curv_col,Calculator!$F$7,vehclass_col,'Additional inputs'!$E52)</f>
        <v>-1.9000000000000001E-5</v>
      </c>
      <c r="K52" s="39">
        <f>SUMIFS(k4_col,grad_col,Calculator!$E$7,curv_col,Calculator!$F$7,vehclass_col,'Additional inputs'!$E52)</f>
        <v>5.2479999999999999E-2</v>
      </c>
      <c r="L52" s="39">
        <f>SUMIFS(k5_col,grad_col,Calculator!$E$7,curv_col,Calculator!$F$7,vehclass_col,'Additional inputs'!$E52)</f>
        <v>7.2099999999999996E-4</v>
      </c>
      <c r="M52" s="39">
        <f>SUMIFS(k6_col,grad_col,Calculator!$E$7,curv_col,Calculator!$F$7,vehclass_col,'Additional inputs'!$E52)</f>
        <v>2.7005999999999999E-2</v>
      </c>
      <c r="N52" s="19"/>
      <c r="O52" s="19"/>
      <c r="P52" s="19"/>
      <c r="Q52" s="19"/>
      <c r="R52" s="19"/>
      <c r="S52" s="19"/>
      <c r="T52" s="19"/>
      <c r="U52" s="19"/>
      <c r="V52" s="19"/>
      <c r="W52" s="19"/>
      <c r="X52" s="20"/>
    </row>
    <row r="53" spans="4:24">
      <c r="D53" s="17"/>
      <c r="E53" s="28">
        <v>10</v>
      </c>
      <c r="F53" s="39" t="s">
        <v>9</v>
      </c>
      <c r="G53" s="39">
        <f>SUMIFS(basevoc_col,grad_col,Calculator!$E$7,curv_col,Calculator!$F$7,vehclass_col,'Additional inputs'!$E53)</f>
        <v>114.7653</v>
      </c>
      <c r="H53" s="39">
        <f>SUMIFS(k_one, grad_col,Calculator!$E$7,curv_col,Calculator!$F$7,vehclass_col,'Additional inputs'!$E53)</f>
        <v>0.27157599999999998</v>
      </c>
      <c r="I53" s="39">
        <f>SUMIFS(k2_col,grad_col,Calculator!$E$7,curv_col,Calculator!$F$7,vehclass_col,'Additional inputs'!$E53)</f>
        <v>8.3297019999999993</v>
      </c>
      <c r="J53" s="39">
        <f>SUMIFS(k3_col,grad_col,Calculator!$E$7,curv_col,Calculator!$F$7,vehclass_col,'Additional inputs'!$E53)</f>
        <v>2.7499999999999999E-6</v>
      </c>
      <c r="K53" s="39">
        <f>SUMIFS(k4_col,grad_col,Calculator!$E$7,curv_col,Calculator!$F$7,vehclass_col,'Additional inputs'!$E53)</f>
        <v>7.6418E-2</v>
      </c>
      <c r="L53" s="39">
        <f>SUMIFS(k5_col,grad_col,Calculator!$E$7,curv_col,Calculator!$F$7,vehclass_col,'Additional inputs'!$E53)</f>
        <v>-2.9999999999999997E-4</v>
      </c>
      <c r="M53" s="39">
        <f>SUMIFS(k6_col,grad_col,Calculator!$E$7,curv_col,Calculator!$F$7,vehclass_col,'Additional inputs'!$E53)</f>
        <v>3.5503E-2</v>
      </c>
      <c r="N53" s="19"/>
      <c r="O53" s="19"/>
      <c r="P53" s="19"/>
      <c r="Q53" s="19"/>
      <c r="R53" s="19"/>
      <c r="S53" s="19"/>
      <c r="T53" s="19"/>
      <c r="U53" s="19"/>
      <c r="V53" s="19"/>
      <c r="W53" s="19"/>
      <c r="X53" s="20"/>
    </row>
    <row r="54" spans="4:24">
      <c r="D54" s="17"/>
      <c r="E54" s="28">
        <v>11</v>
      </c>
      <c r="F54" s="39" t="s">
        <v>10</v>
      </c>
      <c r="G54" s="39">
        <f>SUMIFS(basevoc_col,grad_col,Calculator!$E$7,curv_col,Calculator!$F$7,vehclass_col,'Additional inputs'!$E54)</f>
        <v>126.5033</v>
      </c>
      <c r="H54" s="39">
        <f>SUMIFS(k_one, grad_col,Calculator!$E$7,curv_col,Calculator!$F$7,vehclass_col,'Additional inputs'!$E54)</f>
        <v>0.28434500000000001</v>
      </c>
      <c r="I54" s="39">
        <f>SUMIFS(k2_col,grad_col,Calculator!$E$7,curv_col,Calculator!$F$7,vehclass_col,'Additional inputs'!$E54)</f>
        <v>7.5731630000000001</v>
      </c>
      <c r="J54" s="39">
        <f>SUMIFS(k3_col,grad_col,Calculator!$E$7,curv_col,Calculator!$F$7,vehclass_col,'Additional inputs'!$E54)</f>
        <v>4.6199999999999998E-6</v>
      </c>
      <c r="K54" s="39">
        <f>SUMIFS(k4_col,grad_col,Calculator!$E$7,curv_col,Calculator!$F$7,vehclass_col,'Additional inputs'!$E54)</f>
        <v>7.4210999999999999E-2</v>
      </c>
      <c r="L54" s="39">
        <f>SUMIFS(k5_col,grad_col,Calculator!$E$7,curv_col,Calculator!$F$7,vehclass_col,'Additional inputs'!$E54)</f>
        <v>-2.2000000000000001E-4</v>
      </c>
      <c r="M54" s="39">
        <f>SUMIFS(k6_col,grad_col,Calculator!$E$7,curv_col,Calculator!$F$7,vehclass_col,'Additional inputs'!$E54)</f>
        <v>3.0814000000000001E-2</v>
      </c>
      <c r="N54" s="19"/>
      <c r="O54" s="19"/>
      <c r="P54" s="19"/>
      <c r="Q54" s="19"/>
      <c r="R54" s="19"/>
      <c r="S54" s="19"/>
      <c r="T54" s="19"/>
      <c r="U54" s="19"/>
      <c r="V54" s="19"/>
      <c r="W54" s="19"/>
      <c r="X54" s="20"/>
    </row>
    <row r="55" spans="4:24">
      <c r="D55" s="17"/>
      <c r="E55" s="28">
        <v>12</v>
      </c>
      <c r="F55" s="39" t="s">
        <v>11</v>
      </c>
      <c r="G55" s="39">
        <f>SUMIFS(basevoc_col,grad_col,Calculator!$E$7,curv_col,Calculator!$F$7,vehclass_col,'Additional inputs'!$E55)</f>
        <v>139.87350000000001</v>
      </c>
      <c r="H55" s="39">
        <f>SUMIFS(k_one, grad_col,Calculator!$E$7,curv_col,Calculator!$F$7,vehclass_col,'Additional inputs'!$E55)</f>
        <v>0.27908100000000002</v>
      </c>
      <c r="I55" s="39">
        <f>SUMIFS(k2_col,grad_col,Calculator!$E$7,curv_col,Calculator!$F$7,vehclass_col,'Additional inputs'!$E55)</f>
        <v>7.0453950000000001</v>
      </c>
      <c r="J55" s="39">
        <f>SUMIFS(k3_col,grad_col,Calculator!$E$7,curv_col,Calculator!$F$7,vehclass_col,'Additional inputs'!$E55)</f>
        <v>3.54E-6</v>
      </c>
      <c r="K55" s="39">
        <f>SUMIFS(k4_col,grad_col,Calculator!$E$7,curv_col,Calculator!$F$7,vehclass_col,'Additional inputs'!$E55)</f>
        <v>7.3405999999999999E-2</v>
      </c>
      <c r="L55" s="39">
        <f>SUMIFS(k5_col,grad_col,Calculator!$E$7,curv_col,Calculator!$F$7,vehclass_col,'Additional inputs'!$E55)</f>
        <v>-2.4000000000000001E-4</v>
      </c>
      <c r="M55" s="39">
        <f>SUMIFS(k6_col,grad_col,Calculator!$E$7,curv_col,Calculator!$F$7,vehclass_col,'Additional inputs'!$E55)</f>
        <v>2.81E-2</v>
      </c>
      <c r="N55" s="19"/>
      <c r="O55" s="19"/>
      <c r="P55" s="19"/>
      <c r="Q55" s="19"/>
      <c r="R55" s="19"/>
      <c r="S55" s="19"/>
      <c r="T55" s="19"/>
      <c r="U55" s="19"/>
      <c r="V55" s="19"/>
      <c r="W55" s="19"/>
      <c r="X55" s="20"/>
    </row>
    <row r="56" spans="4:24">
      <c r="D56" s="17"/>
      <c r="E56" s="28">
        <v>13</v>
      </c>
      <c r="F56" s="39" t="s">
        <v>12</v>
      </c>
      <c r="G56" s="39">
        <f>SUMIFS(basevoc_col,grad_col,Calculator!$E$7,curv_col,Calculator!$F$7,vehclass_col,'Additional inputs'!$E56)</f>
        <v>157.95439999999999</v>
      </c>
      <c r="H56" s="39">
        <f>SUMIFS(k_one, grad_col,Calculator!$E$7,curv_col,Calculator!$F$7,vehclass_col,'Additional inputs'!$E56)</f>
        <v>0.222609</v>
      </c>
      <c r="I56" s="39">
        <f>SUMIFS(k2_col,grad_col,Calculator!$E$7,curv_col,Calculator!$F$7,vehclass_col,'Additional inputs'!$E56)</f>
        <v>6.5961059999999998</v>
      </c>
      <c r="J56" s="39">
        <f>SUMIFS(k3_col,grad_col,Calculator!$E$7,curv_col,Calculator!$F$7,vehclass_col,'Additional inputs'!$E56)</f>
        <v>1.08E-5</v>
      </c>
      <c r="K56" s="39">
        <f>SUMIFS(k4_col,grad_col,Calculator!$E$7,curv_col,Calculator!$F$7,vehclass_col,'Additional inputs'!$E56)</f>
        <v>6.6896999999999998E-2</v>
      </c>
      <c r="L56" s="39">
        <f>SUMIFS(k5_col,grad_col,Calculator!$E$7,curv_col,Calculator!$F$7,vehclass_col,'Additional inputs'!$E56)</f>
        <v>-4.8000000000000001E-4</v>
      </c>
      <c r="M56" s="39">
        <f>SUMIFS(k6_col,grad_col,Calculator!$E$7,curv_col,Calculator!$F$7,vehclass_col,'Additional inputs'!$E56)</f>
        <v>2.4937000000000001E-2</v>
      </c>
      <c r="N56" s="19"/>
      <c r="O56" s="19"/>
      <c r="P56" s="19"/>
      <c r="Q56" s="19"/>
      <c r="R56" s="19"/>
      <c r="S56" s="19"/>
      <c r="T56" s="19"/>
      <c r="U56" s="19"/>
      <c r="V56" s="19"/>
      <c r="W56" s="19"/>
      <c r="X56" s="20"/>
    </row>
    <row r="57" spans="4:24">
      <c r="D57" s="17"/>
      <c r="E57" s="28">
        <v>14</v>
      </c>
      <c r="F57" s="39" t="s">
        <v>14</v>
      </c>
      <c r="G57" s="39">
        <f>SUMIFS(basevoc_col,grad_col,Calculator!$E$7,curv_col,Calculator!$F$7,vehclass_col,'Additional inputs'!$E57)</f>
        <v>178.67840000000001</v>
      </c>
      <c r="H57" s="39">
        <f>SUMIFS(k_one, grad_col,Calculator!$E$7,curv_col,Calculator!$F$7,vehclass_col,'Additional inputs'!$E57)</f>
        <v>0.21588399999999999</v>
      </c>
      <c r="I57" s="39">
        <f>SUMIFS(k2_col,grad_col,Calculator!$E$7,curv_col,Calculator!$F$7,vehclass_col,'Additional inputs'!$E57)</f>
        <v>6.5657310000000004</v>
      </c>
      <c r="J57" s="39">
        <f>SUMIFS(k3_col,grad_col,Calculator!$E$7,curv_col,Calculator!$F$7,vehclass_col,'Additional inputs'!$E57)</f>
        <v>6.81E-6</v>
      </c>
      <c r="K57" s="39">
        <f>SUMIFS(k4_col,grad_col,Calculator!$E$7,curv_col,Calculator!$F$7,vehclass_col,'Additional inputs'!$E57)</f>
        <v>7.1298E-2</v>
      </c>
      <c r="L57" s="39">
        <f>SUMIFS(k5_col,grad_col,Calculator!$E$7,curv_col,Calculator!$F$7,vehclass_col,'Additional inputs'!$E57)</f>
        <v>-3.3E-4</v>
      </c>
      <c r="M57" s="39">
        <f>SUMIFS(k6_col,grad_col,Calculator!$E$7,curv_col,Calculator!$F$7,vehclass_col,'Additional inputs'!$E57)</f>
        <v>2.1873E-2</v>
      </c>
      <c r="N57" s="19"/>
      <c r="O57" s="19"/>
      <c r="P57" s="19"/>
      <c r="Q57" s="19"/>
      <c r="R57" s="19"/>
      <c r="S57" s="19"/>
      <c r="T57" s="19"/>
      <c r="U57" s="19"/>
      <c r="V57" s="19"/>
      <c r="W57" s="19"/>
      <c r="X57" s="20"/>
    </row>
    <row r="58" spans="4:24">
      <c r="D58" s="17"/>
      <c r="E58" s="28">
        <v>15</v>
      </c>
      <c r="F58" s="39" t="s">
        <v>15</v>
      </c>
      <c r="G58" s="39">
        <f>SUMIFS(basevoc_col,grad_col,Calculator!$E$7,curv_col,Calculator!$F$7,vehclass_col,'Additional inputs'!$E58)</f>
        <v>174.9632</v>
      </c>
      <c r="H58" s="39">
        <f>SUMIFS(k_one, grad_col,Calculator!$E$7,curv_col,Calculator!$F$7,vehclass_col,'Additional inputs'!$E58)</f>
        <v>0.21401200000000001</v>
      </c>
      <c r="I58" s="39">
        <f>SUMIFS(k2_col,grad_col,Calculator!$E$7,curv_col,Calculator!$F$7,vehclass_col,'Additional inputs'!$E58)</f>
        <v>6.557188</v>
      </c>
      <c r="J58" s="39">
        <f>SUMIFS(k3_col,grad_col,Calculator!$E$7,curv_col,Calculator!$F$7,vehclass_col,'Additional inputs'!$E58)</f>
        <v>9.1300000000000007E-6</v>
      </c>
      <c r="K58" s="39">
        <f>SUMIFS(k4_col,grad_col,Calculator!$E$7,curv_col,Calculator!$F$7,vehclass_col,'Additional inputs'!$E58)</f>
        <v>7.0041000000000006E-2</v>
      </c>
      <c r="L58" s="39">
        <f>SUMIFS(k5_col,grad_col,Calculator!$E$7,curv_col,Calculator!$F$7,vehclass_col,'Additional inputs'!$E58)</f>
        <v>-3.6999999999999999E-4</v>
      </c>
      <c r="M58" s="39">
        <f>SUMIFS(k6_col,grad_col,Calculator!$E$7,curv_col,Calculator!$F$7,vehclass_col,'Additional inputs'!$E58)</f>
        <v>2.2825000000000002E-2</v>
      </c>
      <c r="N58" s="19"/>
      <c r="O58" s="19"/>
      <c r="P58" s="19"/>
      <c r="Q58" s="19"/>
      <c r="R58" s="19"/>
      <c r="S58" s="19"/>
      <c r="T58" s="19"/>
      <c r="U58" s="19"/>
      <c r="V58" s="19"/>
      <c r="W58" s="19"/>
      <c r="X58" s="20"/>
    </row>
    <row r="59" spans="4:24">
      <c r="D59" s="17"/>
      <c r="E59" s="28">
        <v>16</v>
      </c>
      <c r="F59" s="39" t="s">
        <v>16</v>
      </c>
      <c r="G59" s="39">
        <f>SUMIFS(basevoc_col,grad_col,Calculator!$E$7,curv_col,Calculator!$F$7,vehclass_col,'Additional inputs'!$E59)</f>
        <v>238.41829999999999</v>
      </c>
      <c r="H59" s="39">
        <f>SUMIFS(k_one, grad_col,Calculator!$E$7,curv_col,Calculator!$F$7,vehclass_col,'Additional inputs'!$E59)</f>
        <v>0.16072400000000001</v>
      </c>
      <c r="I59" s="39">
        <f>SUMIFS(k2_col,grad_col,Calculator!$E$7,curv_col,Calculator!$F$7,vehclass_col,'Additional inputs'!$E59)</f>
        <v>6.3714680000000001</v>
      </c>
      <c r="J59" s="39">
        <f>SUMIFS(k3_col,grad_col,Calculator!$E$7,curv_col,Calculator!$F$7,vehclass_col,'Additional inputs'!$E59)</f>
        <v>1.6200000000000001E-5</v>
      </c>
      <c r="K59" s="39">
        <f>SUMIFS(k4_col,grad_col,Calculator!$E$7,curv_col,Calculator!$F$7,vehclass_col,'Additional inputs'!$E59)</f>
        <v>6.8294999999999995E-2</v>
      </c>
      <c r="L59" s="39">
        <f>SUMIFS(k5_col,grad_col,Calculator!$E$7,curv_col,Calculator!$F$7,vehclass_col,'Additional inputs'!$E59)</f>
        <v>-3.6999999999999999E-4</v>
      </c>
      <c r="M59" s="39">
        <f>SUMIFS(k6_col,grad_col,Calculator!$E$7,curv_col,Calculator!$F$7,vehclass_col,'Additional inputs'!$E59)</f>
        <v>1.6513E-2</v>
      </c>
      <c r="N59" s="19"/>
      <c r="O59" s="19"/>
      <c r="P59" s="19"/>
      <c r="Q59" s="19"/>
      <c r="R59" s="19"/>
      <c r="S59" s="19"/>
      <c r="T59" s="19"/>
      <c r="U59" s="19"/>
      <c r="V59" s="19"/>
      <c r="W59" s="19"/>
      <c r="X59" s="20"/>
    </row>
    <row r="60" spans="4:24">
      <c r="D60" s="17"/>
      <c r="E60" s="28">
        <v>17</v>
      </c>
      <c r="F60" s="39" t="s">
        <v>17</v>
      </c>
      <c r="G60" s="39">
        <f>SUMIFS(basevoc_col,grad_col,Calculator!$E$7,curv_col,Calculator!$F$7,vehclass_col,'Additional inputs'!$E60)</f>
        <v>274.77510000000001</v>
      </c>
      <c r="H60" s="39">
        <f>SUMIFS(k_one, grad_col,Calculator!$E$7,curv_col,Calculator!$F$7,vehclass_col,'Additional inputs'!$E60)</f>
        <v>0.19064700000000001</v>
      </c>
      <c r="I60" s="39">
        <f>SUMIFS(k2_col,grad_col,Calculator!$E$7,curv_col,Calculator!$F$7,vehclass_col,'Additional inputs'!$E60)</f>
        <v>6.5113989999999999</v>
      </c>
      <c r="J60" s="39">
        <f>SUMIFS(k3_col,grad_col,Calculator!$E$7,curv_col,Calculator!$F$7,vehclass_col,'Additional inputs'!$E60)</f>
        <v>1.4399999999999999E-5</v>
      </c>
      <c r="K60" s="39">
        <f>SUMIFS(k4_col,grad_col,Calculator!$E$7,curv_col,Calculator!$F$7,vehclass_col,'Additional inputs'!$E60)</f>
        <v>6.8886000000000003E-2</v>
      </c>
      <c r="L60" s="39">
        <f>SUMIFS(k5_col,grad_col,Calculator!$E$7,curv_col,Calculator!$F$7,vehclass_col,'Additional inputs'!$E60)</f>
        <v>-1.9000000000000001E-4</v>
      </c>
      <c r="M60" s="39">
        <f>SUMIFS(k6_col,grad_col,Calculator!$E$7,curv_col,Calculator!$F$7,vehclass_col,'Additional inputs'!$E60)</f>
        <v>1.4052E-2</v>
      </c>
      <c r="N60" s="19"/>
      <c r="O60" s="19"/>
      <c r="P60" s="19"/>
      <c r="Q60" s="19"/>
      <c r="R60" s="19"/>
      <c r="S60" s="19"/>
      <c r="T60" s="19"/>
      <c r="U60" s="19"/>
      <c r="V60" s="19"/>
      <c r="W60" s="19"/>
      <c r="X60" s="20"/>
    </row>
    <row r="61" spans="4:24">
      <c r="D61" s="17"/>
      <c r="E61" s="28">
        <v>18</v>
      </c>
      <c r="F61" s="39" t="s">
        <v>18</v>
      </c>
      <c r="G61" s="39">
        <f>SUMIFS(basevoc_col,grad_col,Calculator!$E$7,curv_col,Calculator!$F$7,vehclass_col,'Additional inputs'!$E61)</f>
        <v>287.29379999999998</v>
      </c>
      <c r="H61" s="39">
        <f>SUMIFS(k_one, grad_col,Calculator!$E$7,curv_col,Calculator!$F$7,vehclass_col,'Additional inputs'!$E61)</f>
        <v>9.3365000000000004E-2</v>
      </c>
      <c r="I61" s="39">
        <f>SUMIFS(k2_col,grad_col,Calculator!$E$7,curv_col,Calculator!$F$7,vehclass_col,'Additional inputs'!$E61)</f>
        <v>6.2697760000000002</v>
      </c>
      <c r="J61" s="39">
        <f>SUMIFS(k3_col,grad_col,Calculator!$E$7,curv_col,Calculator!$F$7,vehclass_col,'Additional inputs'!$E61)</f>
        <v>4.18E-5</v>
      </c>
      <c r="K61" s="39">
        <f>SUMIFS(k4_col,grad_col,Calculator!$E$7,curv_col,Calculator!$F$7,vehclass_col,'Additional inputs'!$E61)</f>
        <v>6.5126000000000003E-2</v>
      </c>
      <c r="L61" s="39">
        <f>SUMIFS(k5_col,grad_col,Calculator!$E$7,curv_col,Calculator!$F$7,vehclass_col,'Additional inputs'!$E61)</f>
        <v>-4.2999999999999999E-4</v>
      </c>
      <c r="M61" s="39">
        <f>SUMIFS(k6_col,grad_col,Calculator!$E$7,curv_col,Calculator!$F$7,vehclass_col,'Additional inputs'!$E61)</f>
        <v>1.3729999999999999E-2</v>
      </c>
      <c r="N61" s="19"/>
      <c r="O61" s="19"/>
      <c r="P61" s="19"/>
      <c r="Q61" s="19"/>
      <c r="R61" s="19"/>
      <c r="S61" s="19"/>
      <c r="T61" s="19"/>
      <c r="U61" s="19"/>
      <c r="V61" s="19"/>
      <c r="W61" s="19"/>
      <c r="X61" s="20"/>
    </row>
    <row r="62" spans="4:24">
      <c r="D62" s="17"/>
      <c r="E62" s="28">
        <v>19</v>
      </c>
      <c r="F62" s="39" t="s">
        <v>19</v>
      </c>
      <c r="G62" s="39">
        <f>SUMIFS(basevoc_col,grad_col,Calculator!$E$7,curv_col,Calculator!$F$7,vehclass_col,'Additional inputs'!$E62)</f>
        <v>330.09789999999998</v>
      </c>
      <c r="H62" s="39">
        <f>SUMIFS(k_one, grad_col,Calculator!$E$7,curv_col,Calculator!$F$7,vehclass_col,'Additional inputs'!$E62)</f>
        <v>5.7983E-2</v>
      </c>
      <c r="I62" s="39">
        <f>SUMIFS(k2_col,grad_col,Calculator!$E$7,curv_col,Calculator!$F$7,vehclass_col,'Additional inputs'!$E62)</f>
        <v>6.3504940000000003</v>
      </c>
      <c r="J62" s="39">
        <f>SUMIFS(k3_col,grad_col,Calculator!$E$7,curv_col,Calculator!$F$7,vehclass_col,'Additional inputs'!$E62)</f>
        <v>6.3E-5</v>
      </c>
      <c r="K62" s="39">
        <f>SUMIFS(k4_col,grad_col,Calculator!$E$7,curv_col,Calculator!$F$7,vehclass_col,'Additional inputs'!$E62)</f>
        <v>6.472E-2</v>
      </c>
      <c r="L62" s="39">
        <f>SUMIFS(k5_col,grad_col,Calculator!$E$7,curv_col,Calculator!$F$7,vehclass_col,'Additional inputs'!$E62)</f>
        <v>-4.2999999999999999E-4</v>
      </c>
      <c r="M62" s="39">
        <f>SUMIFS(k6_col,grad_col,Calculator!$E$7,curv_col,Calculator!$F$7,vehclass_col,'Additional inputs'!$E62)</f>
        <v>1.2193000000000001E-2</v>
      </c>
      <c r="N62" s="19"/>
      <c r="O62" s="19"/>
      <c r="P62" s="19"/>
      <c r="Q62" s="19"/>
      <c r="R62" s="19"/>
      <c r="S62" s="19"/>
      <c r="T62" s="19"/>
      <c r="U62" s="19"/>
      <c r="V62" s="19"/>
      <c r="W62" s="19"/>
      <c r="X62" s="20"/>
    </row>
    <row r="63" spans="4:24">
      <c r="D63" s="17"/>
      <c r="E63" s="28">
        <v>20</v>
      </c>
      <c r="F63" s="39" t="s">
        <v>20</v>
      </c>
      <c r="G63" s="39">
        <f>SUMIFS(basevoc_col,grad_col,Calculator!$E$7,curv_col,Calculator!$F$7,vehclass_col,'Additional inputs'!$E63)</f>
        <v>342.85969999999998</v>
      </c>
      <c r="H63" s="39">
        <f>SUMIFS(k_one, grad_col,Calculator!$E$7,curv_col,Calculator!$F$7,vehclass_col,'Additional inputs'!$E63)</f>
        <v>4.4588999999999997E-2</v>
      </c>
      <c r="I63" s="39">
        <f>SUMIFS(k2_col,grad_col,Calculator!$E$7,curv_col,Calculator!$F$7,vehclass_col,'Additional inputs'!$E63)</f>
        <v>6.0637379999999999</v>
      </c>
      <c r="J63" s="39">
        <f>SUMIFS(k3_col,grad_col,Calculator!$E$7,curv_col,Calculator!$F$7,vehclass_col,'Additional inputs'!$E63)</f>
        <v>6.58E-5</v>
      </c>
      <c r="K63" s="39">
        <f>SUMIFS(k4_col,grad_col,Calculator!$E$7,curv_col,Calculator!$F$7,vehclass_col,'Additional inputs'!$E63)</f>
        <v>6.3090999999999994E-2</v>
      </c>
      <c r="L63" s="39">
        <f>SUMIFS(k5_col,grad_col,Calculator!$E$7,curv_col,Calculator!$F$7,vehclass_col,'Additional inputs'!$E63)</f>
        <v>-4.6000000000000001E-4</v>
      </c>
      <c r="M63" s="39">
        <f>SUMIFS(k6_col,grad_col,Calculator!$E$7,curv_col,Calculator!$F$7,vehclass_col,'Additional inputs'!$E63)</f>
        <v>1.1863E-2</v>
      </c>
      <c r="N63" s="19"/>
      <c r="O63" s="19"/>
      <c r="P63" s="19"/>
      <c r="Q63" s="19"/>
      <c r="R63" s="19"/>
      <c r="S63" s="19"/>
      <c r="T63" s="19"/>
      <c r="U63" s="19"/>
      <c r="V63" s="19"/>
      <c r="W63" s="19"/>
      <c r="X63" s="20"/>
    </row>
    <row r="64" spans="4:24">
      <c r="D64" s="17"/>
      <c r="E64" s="14"/>
      <c r="F64" s="19"/>
      <c r="G64" s="19"/>
      <c r="H64" s="19"/>
      <c r="I64" s="19"/>
      <c r="J64" s="19"/>
      <c r="K64" s="19"/>
      <c r="L64" s="19"/>
      <c r="M64" s="19"/>
      <c r="N64" s="19"/>
      <c r="O64" s="19"/>
      <c r="P64" s="19"/>
      <c r="Q64" s="19"/>
      <c r="R64" s="19"/>
      <c r="S64" s="19"/>
      <c r="T64" s="19"/>
      <c r="U64" s="19"/>
      <c r="V64" s="19"/>
      <c r="W64" s="19"/>
      <c r="X64" s="20"/>
    </row>
    <row r="65" spans="4:25">
      <c r="D65" s="17"/>
      <c r="E65" s="40" t="s">
        <v>63</v>
      </c>
      <c r="F65" s="19"/>
      <c r="G65" s="19"/>
      <c r="H65" s="19"/>
      <c r="I65" s="19"/>
      <c r="J65" s="19"/>
      <c r="K65" s="19"/>
      <c r="L65" s="19"/>
      <c r="M65" s="19"/>
      <c r="N65" s="19"/>
      <c r="O65" s="19"/>
      <c r="P65" s="19"/>
      <c r="Q65" s="19"/>
      <c r="R65" s="19"/>
      <c r="S65" s="19"/>
      <c r="T65" s="19"/>
      <c r="U65" s="19"/>
      <c r="V65" s="19"/>
      <c r="W65" s="19"/>
      <c r="X65" s="20"/>
      <c r="Y65" s="41"/>
    </row>
    <row r="66" spans="4:25">
      <c r="D66" s="17"/>
      <c r="E66" s="23" t="s">
        <v>23</v>
      </c>
      <c r="F66" s="39">
        <v>1</v>
      </c>
      <c r="G66" s="39">
        <v>2</v>
      </c>
      <c r="H66" s="39">
        <v>3</v>
      </c>
      <c r="I66" s="39">
        <v>4</v>
      </c>
      <c r="J66" s="39">
        <v>5</v>
      </c>
      <c r="K66" s="39">
        <v>6</v>
      </c>
      <c r="L66" s="39">
        <v>7</v>
      </c>
      <c r="M66" s="39">
        <v>8</v>
      </c>
      <c r="N66" s="39">
        <v>9</v>
      </c>
      <c r="O66" s="39">
        <v>10</v>
      </c>
      <c r="P66" s="39">
        <v>11</v>
      </c>
      <c r="Q66" s="39">
        <v>12</v>
      </c>
      <c r="R66" s="39">
        <v>13</v>
      </c>
      <c r="S66" s="39">
        <v>14</v>
      </c>
      <c r="T66" s="39">
        <v>15</v>
      </c>
      <c r="U66" s="39">
        <v>16</v>
      </c>
      <c r="V66" s="19"/>
      <c r="W66" s="19"/>
      <c r="X66" s="20"/>
      <c r="Y66" s="41"/>
    </row>
    <row r="67" spans="4:25">
      <c r="D67" s="17"/>
      <c r="E67" s="23" t="s">
        <v>37</v>
      </c>
      <c r="F67" s="39">
        <v>0</v>
      </c>
      <c r="G67" s="39">
        <v>4</v>
      </c>
      <c r="H67" s="39">
        <v>6</v>
      </c>
      <c r="I67" s="39">
        <v>8</v>
      </c>
      <c r="J67" s="39">
        <v>10</v>
      </c>
      <c r="K67" s="42"/>
      <c r="L67" s="42"/>
      <c r="M67" s="42"/>
      <c r="N67" s="42"/>
      <c r="O67" s="42"/>
      <c r="P67" s="42"/>
      <c r="Q67" s="42"/>
      <c r="R67" s="42"/>
      <c r="S67" s="42"/>
      <c r="T67" s="42"/>
      <c r="U67" s="42"/>
      <c r="V67" s="19"/>
      <c r="W67" s="19"/>
      <c r="X67" s="20"/>
      <c r="Y67" s="41"/>
    </row>
    <row r="68" spans="4:25">
      <c r="D68" s="17"/>
      <c r="E68" s="43" t="s">
        <v>38</v>
      </c>
      <c r="F68" s="39">
        <v>20</v>
      </c>
      <c r="G68" s="39">
        <v>120</v>
      </c>
      <c r="H68" s="39">
        <v>300</v>
      </c>
      <c r="I68" s="42"/>
      <c r="J68" s="42"/>
      <c r="K68" s="42"/>
      <c r="L68" s="42"/>
      <c r="M68" s="42"/>
      <c r="N68" s="42"/>
      <c r="O68" s="42"/>
      <c r="P68" s="42"/>
      <c r="Q68" s="42"/>
      <c r="R68" s="42"/>
      <c r="S68" s="42"/>
      <c r="T68" s="42"/>
      <c r="U68" s="42"/>
      <c r="V68" s="19"/>
      <c r="W68" s="19"/>
      <c r="X68" s="20"/>
      <c r="Y68" s="41"/>
    </row>
    <row r="69" spans="4:25">
      <c r="D69" s="17"/>
      <c r="E69" s="19"/>
      <c r="F69" s="19"/>
      <c r="G69" s="19"/>
      <c r="H69" s="19"/>
      <c r="I69" s="19"/>
      <c r="J69" s="19"/>
      <c r="K69" s="19"/>
      <c r="L69" s="19"/>
      <c r="M69" s="19"/>
      <c r="N69" s="19"/>
      <c r="O69" s="19"/>
      <c r="P69" s="19"/>
      <c r="Q69" s="19"/>
      <c r="R69" s="19"/>
      <c r="S69" s="19"/>
      <c r="T69" s="19"/>
      <c r="U69" s="19"/>
      <c r="V69" s="19"/>
      <c r="W69" s="19"/>
      <c r="X69" s="20"/>
    </row>
    <row r="70" spans="4:25">
      <c r="D70" s="17"/>
      <c r="E70" s="40" t="s">
        <v>88</v>
      </c>
      <c r="F70" s="19"/>
      <c r="G70" s="19"/>
      <c r="H70" s="19"/>
      <c r="I70" s="19"/>
      <c r="J70" s="19"/>
      <c r="K70" s="19"/>
      <c r="L70" s="19"/>
      <c r="M70" s="19"/>
      <c r="N70" s="19"/>
      <c r="O70" s="19"/>
      <c r="P70" s="19"/>
      <c r="Q70" s="19"/>
      <c r="R70" s="19"/>
      <c r="S70" s="19"/>
      <c r="T70" s="19"/>
      <c r="U70" s="19"/>
      <c r="V70" s="19"/>
      <c r="W70" s="19"/>
      <c r="X70" s="20"/>
    </row>
    <row r="71" spans="4:25">
      <c r="D71" s="17"/>
      <c r="E71" s="22" t="s">
        <v>67</v>
      </c>
      <c r="F71" s="23" t="s">
        <v>95</v>
      </c>
      <c r="G71" s="22" t="s">
        <v>94</v>
      </c>
      <c r="H71" s="22" t="s">
        <v>28</v>
      </c>
      <c r="I71" s="22" t="s">
        <v>29</v>
      </c>
      <c r="J71" s="22" t="s">
        <v>30</v>
      </c>
      <c r="K71" s="22" t="s">
        <v>31</v>
      </c>
      <c r="L71" s="22" t="s">
        <v>32</v>
      </c>
      <c r="M71" s="19"/>
      <c r="N71" s="19"/>
      <c r="O71" s="19"/>
      <c r="P71" s="19"/>
      <c r="Q71" s="19"/>
      <c r="R71" s="19"/>
      <c r="S71" s="19"/>
      <c r="T71" s="19"/>
      <c r="U71" s="19"/>
      <c r="V71" s="19"/>
      <c r="W71" s="19"/>
      <c r="X71" s="20"/>
    </row>
    <row r="72" spans="4:25">
      <c r="D72" s="17"/>
      <c r="E72" s="28">
        <v>1</v>
      </c>
      <c r="F72" s="39" t="s">
        <v>0</v>
      </c>
      <c r="G72" s="39">
        <f>SUMIFS(base_fuel,grad_col,Calculator!$E$7,curv_fuel,Calculator!$F$7,veh_class_fuel,'Additional inputs'!$E72)</f>
        <v>6.8430049999999998</v>
      </c>
      <c r="H72" s="39">
        <f>SUMIFS(k1_fuel,grad_col,Calculator!$E$7,curv_fuel,Calculator!$F$7,veh_class_fuel,'Additional inputs'!$E72)</f>
        <v>0.29988999999999999</v>
      </c>
      <c r="I72" s="39">
        <f>SUMIFS(k2_fuel,grad_col,Calculator!$E$7,curv_fuel,Calculator!$F$7,veh_class_fuel,'Additional inputs'!$E72)</f>
        <v>11.63124</v>
      </c>
      <c r="J72" s="39">
        <f>SUMIFS(k3_fuel,grad_col,Calculator!$E$7,curv_fuel,Calculator!$F$7,veh_class_fuel,'Additional inputs'!$E72)</f>
        <v>4.8300000000000002E-5</v>
      </c>
      <c r="K72" s="39">
        <f>SUMIFS(k4_fuel,grad_col,Calculator!$E$7,curv_fuel,Calculator!$F$7,veh_class_fuel,'Additional inputs'!$E72)</f>
        <v>3.5339999999999998E-3</v>
      </c>
      <c r="L72" s="39">
        <f>SUMIFS(k5_fuel,grad_col,Calculator!$E$7,curv_fuel,Calculator!$F$7,veh_class_fuel,'Additional inputs'!$E72)</f>
        <v>0.44509700000000002</v>
      </c>
      <c r="M72" s="19"/>
      <c r="N72" s="19"/>
      <c r="O72" s="19"/>
      <c r="P72" s="19"/>
      <c r="Q72" s="19"/>
      <c r="R72" s="19"/>
      <c r="S72" s="19"/>
      <c r="T72" s="19"/>
      <c r="U72" s="19"/>
      <c r="V72" s="19"/>
      <c r="W72" s="19"/>
      <c r="X72" s="20"/>
    </row>
    <row r="73" spans="4:25">
      <c r="D73" s="17"/>
      <c r="E73" s="28">
        <v>2</v>
      </c>
      <c r="F73" s="39" t="s">
        <v>1</v>
      </c>
      <c r="G73" s="39">
        <f>SUMIFS(base_fuel,grad_col,Calculator!$E$7,curv_fuel,Calculator!$F$7,veh_class_fuel,'Additional inputs'!$E73)</f>
        <v>8.3961079999999999</v>
      </c>
      <c r="H73" s="39">
        <f>SUMIFS(k1_fuel,grad_col,Calculator!$E$7,curv_fuel,Calculator!$F$7,veh_class_fuel,'Additional inputs'!$E73)</f>
        <v>0.28343600000000002</v>
      </c>
      <c r="I73" s="39">
        <f>SUMIFS(k2_fuel,grad_col,Calculator!$E$7,curv_fuel,Calculator!$F$7,veh_class_fuel,'Additional inputs'!$E73)</f>
        <v>13.045970000000001</v>
      </c>
      <c r="J73" s="39">
        <f>SUMIFS(k3_fuel,grad_col,Calculator!$E$7,curv_fuel,Calculator!$F$7,veh_class_fuel,'Additional inputs'!$E73)</f>
        <v>3.7200000000000003E-5</v>
      </c>
      <c r="K73" s="39">
        <f>SUMIFS(k4_fuel,grad_col,Calculator!$E$7,curv_fuel,Calculator!$F$7,veh_class_fuel,'Additional inputs'!$E73)</f>
        <v>2.7659999999999998E-3</v>
      </c>
      <c r="L73" s="39">
        <f>SUMIFS(k5_fuel,grad_col,Calculator!$E$7,curv_fuel,Calculator!$F$7,veh_class_fuel,'Additional inputs'!$E73)</f>
        <v>0.38624599999999998</v>
      </c>
      <c r="M73" s="44"/>
      <c r="N73" s="19"/>
      <c r="O73" s="19"/>
      <c r="P73" s="19"/>
      <c r="Q73" s="19"/>
      <c r="R73" s="19"/>
      <c r="S73" s="19"/>
      <c r="T73" s="19"/>
      <c r="U73" s="19"/>
      <c r="V73" s="19"/>
      <c r="W73" s="19"/>
      <c r="X73" s="20"/>
    </row>
    <row r="74" spans="4:25">
      <c r="D74" s="17"/>
      <c r="E74" s="28">
        <v>3</v>
      </c>
      <c r="F74" s="39" t="s">
        <v>2</v>
      </c>
      <c r="G74" s="39">
        <f>SUMIFS(base_fuel,grad_col,Calculator!$E$7,curv_fuel,Calculator!$F$7,veh_class_fuel,'Additional inputs'!$E74)</f>
        <v>10.49274</v>
      </c>
      <c r="H74" s="39">
        <f>SUMIFS(k1_fuel,grad_col,Calculator!$E$7,curv_fuel,Calculator!$F$7,veh_class_fuel,'Additional inputs'!$E74)</f>
        <v>0.319691</v>
      </c>
      <c r="I74" s="39">
        <f>SUMIFS(k2_fuel,grad_col,Calculator!$E$7,curv_fuel,Calculator!$F$7,veh_class_fuel,'Additional inputs'!$E74)</f>
        <v>14.082420000000001</v>
      </c>
      <c r="J74" s="39">
        <f>SUMIFS(k3_fuel,grad_col,Calculator!$E$7,curv_fuel,Calculator!$F$7,veh_class_fuel,'Additional inputs'!$E74)</f>
        <v>3.3099999999999998E-5</v>
      </c>
      <c r="K74" s="39">
        <f>SUMIFS(k4_fuel,grad_col,Calculator!$E$7,curv_fuel,Calculator!$F$7,veh_class_fuel,'Additional inputs'!$E74)</f>
        <v>2.0639999999999999E-3</v>
      </c>
      <c r="L74" s="39">
        <f>SUMIFS(k5_fuel,grad_col,Calculator!$E$7,curv_fuel,Calculator!$F$7,veh_class_fuel,'Additional inputs'!$E74)</f>
        <v>0.28478100000000001</v>
      </c>
      <c r="M74" s="44"/>
      <c r="N74" s="19"/>
      <c r="O74" s="19"/>
      <c r="P74" s="19"/>
      <c r="Q74" s="19"/>
      <c r="R74" s="19"/>
      <c r="S74" s="19"/>
      <c r="T74" s="19"/>
      <c r="U74" s="19"/>
      <c r="V74" s="19"/>
      <c r="W74" s="19"/>
      <c r="X74" s="20"/>
    </row>
    <row r="75" spans="4:25">
      <c r="D75" s="17"/>
      <c r="E75" s="28">
        <v>4</v>
      </c>
      <c r="F75" s="39" t="s">
        <v>3</v>
      </c>
      <c r="G75" s="39">
        <f>SUMIFS(base_fuel,grad_col,Calculator!$E$7,curv_fuel,Calculator!$F$7,veh_class_fuel,'Additional inputs'!$E75)</f>
        <v>9.721387</v>
      </c>
      <c r="H75" s="39">
        <f>SUMIFS(k1_fuel,grad_col,Calculator!$E$7,curv_fuel,Calculator!$F$7,veh_class_fuel,'Additional inputs'!$E75)</f>
        <v>0.28582099999999999</v>
      </c>
      <c r="I75" s="39">
        <f>SUMIFS(k2_fuel,grad_col,Calculator!$E$7,curv_fuel,Calculator!$F$7,veh_class_fuel,'Additional inputs'!$E75)</f>
        <v>11.20472</v>
      </c>
      <c r="J75" s="39">
        <f>SUMIFS(k3_fuel,grad_col,Calculator!$E$7,curv_fuel,Calculator!$F$7,veh_class_fuel,'Additional inputs'!$E75)</f>
        <v>6.6200000000000001E-6</v>
      </c>
      <c r="K75" s="39">
        <f>SUMIFS(k4_fuel,grad_col,Calculator!$E$7,curv_fuel,Calculator!$F$7,veh_class_fuel,'Additional inputs'!$E75)</f>
        <v>3.4629999999999999E-3</v>
      </c>
      <c r="L75" s="39">
        <f>SUMIFS(k5_fuel,grad_col,Calculator!$E$7,curv_fuel,Calculator!$F$7,veh_class_fuel,'Additional inputs'!$E75)</f>
        <v>0.39386500000000002</v>
      </c>
      <c r="M75" s="44"/>
      <c r="N75" s="19"/>
      <c r="O75" s="19"/>
      <c r="P75" s="19"/>
      <c r="Q75" s="19"/>
      <c r="R75" s="19"/>
      <c r="S75" s="19"/>
      <c r="T75" s="19"/>
      <c r="U75" s="19"/>
      <c r="V75" s="19"/>
      <c r="W75" s="19"/>
      <c r="X75" s="20"/>
    </row>
    <row r="76" spans="4:25">
      <c r="D76" s="17"/>
      <c r="E76" s="28">
        <v>5</v>
      </c>
      <c r="F76" s="39" t="s">
        <v>4</v>
      </c>
      <c r="G76" s="39">
        <f>SUMIFS(base_fuel,grad_col,Calculator!$E$7,curv_fuel,Calculator!$F$7,veh_class_fuel,'Additional inputs'!$E76)</f>
        <v>11.32372</v>
      </c>
      <c r="H76" s="39">
        <f>SUMIFS(k1_fuel,grad_col,Calculator!$E$7,curv_fuel,Calculator!$F$7,veh_class_fuel,'Additional inputs'!$E76)</f>
        <v>0.31765100000000002</v>
      </c>
      <c r="I76" s="39">
        <f>SUMIFS(k2_fuel,grad_col,Calculator!$E$7,curv_fuel,Calculator!$F$7,veh_class_fuel,'Additional inputs'!$E76)</f>
        <v>12.00848</v>
      </c>
      <c r="J76" s="39">
        <f>SUMIFS(k3_fuel,grad_col,Calculator!$E$7,curv_fuel,Calculator!$F$7,veh_class_fuel,'Additional inputs'!$E76)</f>
        <v>1.9199999999999999E-5</v>
      </c>
      <c r="K76" s="39">
        <f>SUMIFS(k4_fuel,grad_col,Calculator!$E$7,curv_fuel,Calculator!$F$7,veh_class_fuel,'Additional inputs'!$E76)</f>
        <v>2.7880000000000001E-3</v>
      </c>
      <c r="L76" s="39">
        <f>SUMIFS(k5_fuel,grad_col,Calculator!$E$7,curv_fuel,Calculator!$F$7,veh_class_fuel,'Additional inputs'!$E76)</f>
        <v>0.237287</v>
      </c>
      <c r="M76" s="44"/>
      <c r="N76" s="19"/>
      <c r="O76" s="19"/>
      <c r="P76" s="19"/>
      <c r="Q76" s="19"/>
      <c r="R76" s="19"/>
      <c r="S76" s="19"/>
      <c r="T76" s="19"/>
      <c r="U76" s="19"/>
      <c r="V76" s="19"/>
      <c r="W76" s="19"/>
      <c r="X76" s="20"/>
    </row>
    <row r="77" spans="4:25">
      <c r="D77" s="17"/>
      <c r="E77" s="28">
        <v>6</v>
      </c>
      <c r="F77" s="39" t="s">
        <v>5</v>
      </c>
      <c r="G77" s="39">
        <f>SUMIFS(base_fuel,grad_col,Calculator!$E$7,curv_fuel,Calculator!$F$7,veh_class_fuel,'Additional inputs'!$E77)</f>
        <v>10.01749</v>
      </c>
      <c r="H77" s="39">
        <f>SUMIFS(k1_fuel,grad_col,Calculator!$E$7,curv_fuel,Calculator!$F$7,veh_class_fuel,'Additional inputs'!$E77)</f>
        <v>0.14016100000000001</v>
      </c>
      <c r="I77" s="39">
        <f>SUMIFS(k2_fuel,grad_col,Calculator!$E$7,curv_fuel,Calculator!$F$7,veh_class_fuel,'Additional inputs'!$E77)</f>
        <v>10.84775</v>
      </c>
      <c r="J77" s="39">
        <f>SUMIFS(k3_fuel,grad_col,Calculator!$E$7,curv_fuel,Calculator!$F$7,veh_class_fuel,'Additional inputs'!$E77)</f>
        <v>3.9400000000000002E-5</v>
      </c>
      <c r="K77" s="39">
        <f>SUMIFS(k4_fuel,grad_col,Calculator!$E$7,curv_fuel,Calculator!$F$7,veh_class_fuel,'Additional inputs'!$E77)</f>
        <v>6.9649999999999998E-3</v>
      </c>
      <c r="L77" s="39">
        <f>SUMIFS(k5_fuel,grad_col,Calculator!$E$7,curv_fuel,Calculator!$F$7,veh_class_fuel,'Additional inputs'!$E77)</f>
        <v>0.320465</v>
      </c>
      <c r="M77" s="44"/>
      <c r="N77" s="19"/>
      <c r="O77" s="19"/>
      <c r="P77" s="19"/>
      <c r="Q77" s="19"/>
      <c r="R77" s="19"/>
      <c r="S77" s="19"/>
      <c r="T77" s="19"/>
      <c r="U77" s="19"/>
      <c r="V77" s="19"/>
      <c r="W77" s="19"/>
      <c r="X77" s="20"/>
    </row>
    <row r="78" spans="4:25">
      <c r="D78" s="17"/>
      <c r="E78" s="28">
        <v>7</v>
      </c>
      <c r="F78" s="39" t="s">
        <v>6</v>
      </c>
      <c r="G78" s="39">
        <f>SUMIFS(base_fuel,grad_col,Calculator!$E$7,curv_fuel,Calculator!$F$7,veh_class_fuel,'Additional inputs'!$E78)</f>
        <v>16.688099999999999</v>
      </c>
      <c r="H78" s="39">
        <f>SUMIFS(k1_fuel,grad_col,Calculator!$E$7,curv_fuel,Calculator!$F$7,veh_class_fuel,'Additional inputs'!$E78)</f>
        <v>0.124102</v>
      </c>
      <c r="I78" s="39">
        <f>SUMIFS(k2_fuel,grad_col,Calculator!$E$7,curv_fuel,Calculator!$F$7,veh_class_fuel,'Additional inputs'!$E78)</f>
        <v>6.6176490000000001</v>
      </c>
      <c r="J78" s="39">
        <f>SUMIFS(k3_fuel,grad_col,Calculator!$E$7,curv_fuel,Calculator!$F$7,veh_class_fuel,'Additional inputs'!$E78)</f>
        <v>3.6999999999999998E-5</v>
      </c>
      <c r="K78" s="39">
        <f>SUMIFS(k4_fuel,grad_col,Calculator!$E$7,curv_fuel,Calculator!$F$7,veh_class_fuel,'Additional inputs'!$E78)</f>
        <v>7.796E-3</v>
      </c>
      <c r="L78" s="39">
        <f>SUMIFS(k5_fuel,grad_col,Calculator!$E$7,curv_fuel,Calculator!$F$7,veh_class_fuel,'Additional inputs'!$E78)</f>
        <v>0.191137</v>
      </c>
      <c r="M78" s="44"/>
      <c r="N78" s="19"/>
      <c r="O78" s="19"/>
      <c r="P78" s="19"/>
      <c r="Q78" s="19"/>
      <c r="R78" s="19"/>
      <c r="S78" s="19"/>
      <c r="T78" s="19"/>
      <c r="U78" s="19"/>
      <c r="V78" s="19"/>
      <c r="W78" s="19"/>
      <c r="X78" s="20"/>
    </row>
    <row r="79" spans="4:25">
      <c r="D79" s="17"/>
      <c r="E79" s="28">
        <v>8</v>
      </c>
      <c r="F79" s="39" t="s">
        <v>7</v>
      </c>
      <c r="G79" s="39">
        <f>SUMIFS(base_fuel,grad_col,Calculator!$E$7,curv_fuel,Calculator!$F$7,veh_class_fuel,'Additional inputs'!$E79)</f>
        <v>40.170119999999997</v>
      </c>
      <c r="H79" s="39">
        <f>SUMIFS(k1_fuel,grad_col,Calculator!$E$7,curv_fuel,Calculator!$F$7,veh_class_fuel,'Additional inputs'!$E79)</f>
        <v>0.10541399999999999</v>
      </c>
      <c r="I79" s="39">
        <f>SUMIFS(k2_fuel,grad_col,Calculator!$E$7,curv_fuel,Calculator!$F$7,veh_class_fuel,'Additional inputs'!$E79)</f>
        <v>7.6505289999999997</v>
      </c>
      <c r="J79" s="39">
        <f>SUMIFS(k3_fuel,grad_col,Calculator!$E$7,curv_fuel,Calculator!$F$7,veh_class_fuel,'Additional inputs'!$E79)</f>
        <v>1.5500000000000001E-5</v>
      </c>
      <c r="K79" s="39">
        <f>SUMIFS(k4_fuel,grad_col,Calculator!$E$7,curv_fuel,Calculator!$F$7,veh_class_fuel,'Additional inputs'!$E79)</f>
        <v>5.45E-3</v>
      </c>
      <c r="L79" s="39">
        <f>SUMIFS(k5_fuel,grad_col,Calculator!$E$7,curv_fuel,Calculator!$F$7,veh_class_fuel,'Additional inputs'!$E79)</f>
        <v>7.714E-2</v>
      </c>
      <c r="M79" s="44"/>
      <c r="N79" s="19"/>
      <c r="O79" s="19"/>
      <c r="P79" s="19"/>
      <c r="Q79" s="19"/>
      <c r="R79" s="19"/>
      <c r="S79" s="19"/>
      <c r="T79" s="19"/>
      <c r="U79" s="19"/>
      <c r="V79" s="19"/>
      <c r="W79" s="19"/>
      <c r="X79" s="20"/>
    </row>
    <row r="80" spans="4:25">
      <c r="D80" s="17"/>
      <c r="E80" s="28">
        <v>9</v>
      </c>
      <c r="F80" s="39" t="s">
        <v>8</v>
      </c>
      <c r="G80" s="39">
        <f>SUMIFS(base_fuel,grad_col,Calculator!$E$7,curv_fuel,Calculator!$F$7,veh_class_fuel,'Additional inputs'!$E80)</f>
        <v>48.937640000000002</v>
      </c>
      <c r="H80" s="39">
        <f>SUMIFS(k1_fuel,grad_col,Calculator!$E$7,curv_fuel,Calculator!$F$7,veh_class_fuel,'Additional inputs'!$E80)</f>
        <v>0.187502</v>
      </c>
      <c r="I80" s="39">
        <f>SUMIFS(k2_fuel,grad_col,Calculator!$E$7,curv_fuel,Calculator!$F$7,veh_class_fuel,'Additional inputs'!$E80)</f>
        <v>4.4359229999999998</v>
      </c>
      <c r="J80" s="39">
        <f>SUMIFS(k3_fuel,grad_col,Calculator!$E$7,curv_fuel,Calculator!$F$7,veh_class_fuel,'Additional inputs'!$E80)</f>
        <v>-1.0000000000000001E-5</v>
      </c>
      <c r="K80" s="39">
        <f>SUMIFS(k4_fuel,grad_col,Calculator!$E$7,curv_fuel,Calculator!$F$7,veh_class_fuel,'Additional inputs'!$E80)</f>
        <v>3.5270000000000002E-3</v>
      </c>
      <c r="L80" s="39">
        <f>SUMIFS(k5_fuel,grad_col,Calculator!$E$7,curv_fuel,Calculator!$F$7,veh_class_fuel,'Additional inputs'!$E80)</f>
        <v>6.3380000000000006E-2</v>
      </c>
      <c r="M80" s="44"/>
      <c r="N80" s="19"/>
      <c r="O80" s="19"/>
      <c r="P80" s="19"/>
      <c r="Q80" s="19"/>
      <c r="R80" s="19"/>
      <c r="S80" s="19"/>
      <c r="T80" s="19"/>
      <c r="U80" s="19"/>
      <c r="V80" s="19"/>
      <c r="W80" s="19"/>
      <c r="X80" s="20"/>
    </row>
    <row r="81" spans="4:24">
      <c r="D81" s="17"/>
      <c r="E81" s="28">
        <v>10</v>
      </c>
      <c r="F81" s="39" t="s">
        <v>9</v>
      </c>
      <c r="G81" s="39">
        <f>SUMIFS(base_fuel,grad_col,Calculator!$E$7,curv_fuel,Calculator!$F$7,veh_class_fuel,'Additional inputs'!$E81)</f>
        <v>47.036960000000001</v>
      </c>
      <c r="H81" s="39">
        <f>SUMIFS(k1_fuel,grad_col,Calculator!$E$7,curv_fuel,Calculator!$F$7,veh_class_fuel,'Additional inputs'!$E81)</f>
        <v>-6.9800000000000001E-3</v>
      </c>
      <c r="I81" s="39">
        <f>SUMIFS(k2_fuel,grad_col,Calculator!$E$7,curv_fuel,Calculator!$F$7,veh_class_fuel,'Additional inputs'!$E81)</f>
        <v>8.0446010000000001</v>
      </c>
      <c r="J81" s="39">
        <f>SUMIFS(k3_fuel,grad_col,Calculator!$E$7,curv_fuel,Calculator!$F$7,veh_class_fuel,'Additional inputs'!$E81)</f>
        <v>3.3300000000000003E-5</v>
      </c>
      <c r="K81" s="39">
        <f>SUMIFS(k4_fuel,grad_col,Calculator!$E$7,curv_fuel,Calculator!$F$7,veh_class_fuel,'Additional inputs'!$E81)</f>
        <v>7.5389999999999997E-3</v>
      </c>
      <c r="L81" s="39">
        <f>SUMIFS(k5_fuel,grad_col,Calculator!$E$7,curv_fuel,Calculator!$F$7,veh_class_fuel,'Additional inputs'!$E81)</f>
        <v>6.7528000000000005E-2</v>
      </c>
      <c r="M81" s="44"/>
      <c r="N81" s="19"/>
      <c r="O81" s="19"/>
      <c r="P81" s="19"/>
      <c r="Q81" s="19"/>
      <c r="R81" s="19"/>
      <c r="S81" s="19"/>
      <c r="T81" s="19"/>
      <c r="U81" s="19"/>
      <c r="V81" s="19"/>
      <c r="W81" s="19"/>
      <c r="X81" s="20"/>
    </row>
    <row r="82" spans="4:24">
      <c r="D82" s="17"/>
      <c r="E82" s="28">
        <v>11</v>
      </c>
      <c r="F82" s="39" t="s">
        <v>10</v>
      </c>
      <c r="G82" s="39">
        <f>SUMIFS(base_fuel,grad_col,Calculator!$E$7,curv_fuel,Calculator!$F$7,veh_class_fuel,'Additional inputs'!$E82)</f>
        <v>54.51961</v>
      </c>
      <c r="H82" s="39">
        <f>SUMIFS(k1_fuel,grad_col,Calculator!$E$7,curv_fuel,Calculator!$F$7,veh_class_fuel,'Additional inputs'!$E82)</f>
        <v>1.6157000000000001E-2</v>
      </c>
      <c r="I82" s="39">
        <f>SUMIFS(k2_fuel,grad_col,Calculator!$E$7,curv_fuel,Calculator!$F$7,veh_class_fuel,'Additional inputs'!$E82)</f>
        <v>6.88415</v>
      </c>
      <c r="J82" s="39">
        <f>SUMIFS(k3_fuel,grad_col,Calculator!$E$7,curv_fuel,Calculator!$F$7,veh_class_fuel,'Additional inputs'!$E82)</f>
        <v>2.9799999999999999E-5</v>
      </c>
      <c r="K82" s="39">
        <f>SUMIFS(k4_fuel,grad_col,Calculator!$E$7,curv_fuel,Calculator!$F$7,veh_class_fuel,'Additional inputs'!$E82)</f>
        <v>6.9589999999999999E-3</v>
      </c>
      <c r="L82" s="39">
        <f>SUMIFS(k5_fuel,grad_col,Calculator!$E$7,curv_fuel,Calculator!$F$7,veh_class_fuel,'Additional inputs'!$E82)</f>
        <v>5.6987000000000003E-2</v>
      </c>
      <c r="M82" s="44"/>
      <c r="N82" s="19"/>
      <c r="O82" s="19"/>
      <c r="P82" s="19"/>
      <c r="Q82" s="19"/>
      <c r="R82" s="19"/>
      <c r="S82" s="19"/>
      <c r="T82" s="19"/>
      <c r="U82" s="19"/>
      <c r="V82" s="19"/>
      <c r="W82" s="19"/>
      <c r="X82" s="20"/>
    </row>
    <row r="83" spans="4:24">
      <c r="D83" s="17"/>
      <c r="E83" s="28">
        <v>12</v>
      </c>
      <c r="F83" s="39" t="s">
        <v>11</v>
      </c>
      <c r="G83" s="39">
        <f>SUMIFS(base_fuel,grad_col,Calculator!$E$7,curv_fuel,Calculator!$F$7,veh_class_fuel,'Additional inputs'!$E83)</f>
        <v>61.834679999999999</v>
      </c>
      <c r="H83" s="39">
        <f>SUMIFS(k1_fuel,grad_col,Calculator!$E$7,curv_fuel,Calculator!$F$7,veh_class_fuel,'Additional inputs'!$E83)</f>
        <v>2.8878999999999998E-2</v>
      </c>
      <c r="I83" s="39">
        <f>SUMIFS(k2_fuel,grad_col,Calculator!$E$7,curv_fuel,Calculator!$F$7,veh_class_fuel,'Additional inputs'!$E83)</f>
        <v>5.993544</v>
      </c>
      <c r="J83" s="39">
        <f>SUMIFS(k3_fuel,grad_col,Calculator!$E$7,curv_fuel,Calculator!$F$7,veh_class_fuel,'Additional inputs'!$E83)</f>
        <v>2.6699999999999998E-5</v>
      </c>
      <c r="K83" s="39">
        <f>SUMIFS(k4_fuel,grad_col,Calculator!$E$7,curv_fuel,Calculator!$F$7,veh_class_fuel,'Additional inputs'!$E83)</f>
        <v>6.8739999999999999E-3</v>
      </c>
      <c r="L83" s="39">
        <f>SUMIFS(k5_fuel,grad_col,Calculator!$E$7,curv_fuel,Calculator!$F$7,veh_class_fuel,'Additional inputs'!$E83)</f>
        <v>5.0191E-2</v>
      </c>
      <c r="M83" s="44"/>
      <c r="N83" s="19"/>
      <c r="O83" s="19"/>
      <c r="P83" s="19"/>
      <c r="Q83" s="19"/>
      <c r="R83" s="19"/>
      <c r="S83" s="19"/>
      <c r="T83" s="19"/>
      <c r="U83" s="19"/>
      <c r="V83" s="19"/>
      <c r="W83" s="19"/>
      <c r="X83" s="20"/>
    </row>
    <row r="84" spans="4:24">
      <c r="D84" s="17"/>
      <c r="E84" s="28">
        <v>13</v>
      </c>
      <c r="F84" s="39" t="s">
        <v>12</v>
      </c>
      <c r="G84" s="39">
        <f>SUMIFS(base_fuel,grad_col,Calculator!$E$7,curv_fuel,Calculator!$F$7,veh_class_fuel,'Additional inputs'!$E84)</f>
        <v>74.677139999999994</v>
      </c>
      <c r="H84" s="39">
        <f>SUMIFS(k1_fuel,grad_col,Calculator!$E$7,curv_fuel,Calculator!$F$7,veh_class_fuel,'Additional inputs'!$E84)</f>
        <v>-7.8710000000000002E-2</v>
      </c>
      <c r="I84" s="39">
        <f>SUMIFS(k2_fuel,grad_col,Calculator!$E$7,curv_fuel,Calculator!$F$7,veh_class_fuel,'Additional inputs'!$E84)</f>
        <v>6.2544060000000004</v>
      </c>
      <c r="J84" s="39">
        <f>SUMIFS(k3_fuel,grad_col,Calculator!$E$7,curv_fuel,Calculator!$F$7,veh_class_fuel,'Additional inputs'!$E84)</f>
        <v>4.2599999999999999E-5</v>
      </c>
      <c r="K84" s="39">
        <f>SUMIFS(k4_fuel,grad_col,Calculator!$E$7,curv_fuel,Calculator!$F$7,veh_class_fuel,'Additional inputs'!$E84)</f>
        <v>7.5669999999999999E-3</v>
      </c>
      <c r="L84" s="39">
        <f>SUMIFS(k5_fuel,grad_col,Calculator!$E$7,curv_fuel,Calculator!$F$7,veh_class_fuel,'Additional inputs'!$E84)</f>
        <v>4.2833999999999997E-2</v>
      </c>
      <c r="M84" s="44"/>
      <c r="N84" s="19"/>
      <c r="O84" s="19"/>
      <c r="P84" s="19"/>
      <c r="Q84" s="19"/>
      <c r="R84" s="19"/>
      <c r="S84" s="19"/>
      <c r="T84" s="19"/>
      <c r="U84" s="19"/>
      <c r="V84" s="19"/>
      <c r="W84" s="19"/>
      <c r="X84" s="20"/>
    </row>
    <row r="85" spans="4:24">
      <c r="D85" s="17"/>
      <c r="E85" s="28">
        <v>14</v>
      </c>
      <c r="F85" s="39" t="s">
        <v>14</v>
      </c>
      <c r="G85" s="39">
        <f>SUMIFS(base_fuel,grad_col,Calculator!$E$7,curv_fuel,Calculator!$F$7,veh_class_fuel,'Additional inputs'!$E85)</f>
        <v>84.677289999999999</v>
      </c>
      <c r="H85" s="39">
        <f>SUMIFS(k1_fuel,grad_col,Calculator!$E$7,curv_fuel,Calculator!$F$7,veh_class_fuel,'Additional inputs'!$E85)</f>
        <v>-7.1800000000000003E-2</v>
      </c>
      <c r="I85" s="39">
        <f>SUMIFS(k2_fuel,grad_col,Calculator!$E$7,curv_fuel,Calculator!$F$7,veh_class_fuel,'Additional inputs'!$E85)</f>
        <v>5.5817420000000002</v>
      </c>
      <c r="J85" s="39">
        <f>SUMIFS(k3_fuel,grad_col,Calculator!$E$7,curv_fuel,Calculator!$F$7,veh_class_fuel,'Additional inputs'!$E85)</f>
        <v>4.0099999999999999E-5</v>
      </c>
      <c r="K85" s="39">
        <f>SUMIFS(k4_fuel,grad_col,Calculator!$E$7,curv_fuel,Calculator!$F$7,veh_class_fuel,'Additional inputs'!$E85)</f>
        <v>7.2009999999999999E-3</v>
      </c>
      <c r="L85" s="39">
        <f>SUMIFS(k5_fuel,grad_col,Calculator!$E$7,curv_fuel,Calculator!$F$7,veh_class_fuel,'Additional inputs'!$E85)</f>
        <v>3.7798999999999999E-2</v>
      </c>
      <c r="M85" s="44"/>
      <c r="N85" s="19"/>
      <c r="O85" s="19"/>
      <c r="P85" s="19"/>
      <c r="Q85" s="19"/>
      <c r="R85" s="19"/>
      <c r="S85" s="19"/>
      <c r="T85" s="19"/>
      <c r="U85" s="19"/>
      <c r="V85" s="19"/>
      <c r="W85" s="19"/>
      <c r="X85" s="20"/>
    </row>
    <row r="86" spans="4:24">
      <c r="D86" s="17"/>
      <c r="E86" s="28">
        <v>15</v>
      </c>
      <c r="F86" s="39" t="s">
        <v>15</v>
      </c>
      <c r="G86" s="39">
        <f>SUMIFS(base_fuel,grad_col,Calculator!$E$7,curv_fuel,Calculator!$F$7,veh_class_fuel,'Additional inputs'!$E86)</f>
        <v>81.754819999999995</v>
      </c>
      <c r="H86" s="39">
        <f>SUMIFS(k1_fuel,grad_col,Calculator!$E$7,curv_fuel,Calculator!$F$7,veh_class_fuel,'Additional inputs'!$E86)</f>
        <v>-7.5209999999999999E-2</v>
      </c>
      <c r="I86" s="39">
        <f>SUMIFS(k2_fuel,grad_col,Calculator!$E$7,curv_fuel,Calculator!$F$7,veh_class_fuel,'Additional inputs'!$E86)</f>
        <v>5.8185560000000001</v>
      </c>
      <c r="J86" s="39">
        <f>SUMIFS(k3_fuel,grad_col,Calculator!$E$7,curv_fuel,Calculator!$F$7,veh_class_fuel,'Additional inputs'!$E86)</f>
        <v>4.0599999999999998E-5</v>
      </c>
      <c r="K86" s="39">
        <f>SUMIFS(k4_fuel,grad_col,Calculator!$E$7,curv_fuel,Calculator!$F$7,veh_class_fuel,'Additional inputs'!$E86)</f>
        <v>7.4739999999999997E-3</v>
      </c>
      <c r="L86" s="39">
        <f>SUMIFS(k5_fuel,grad_col,Calculator!$E$7,curv_fuel,Calculator!$F$7,veh_class_fuel,'Additional inputs'!$E86)</f>
        <v>3.9091000000000001E-2</v>
      </c>
      <c r="M86" s="44"/>
      <c r="N86" s="19"/>
      <c r="O86" s="19"/>
      <c r="P86" s="19"/>
      <c r="Q86" s="19"/>
      <c r="R86" s="19"/>
      <c r="S86" s="19"/>
      <c r="T86" s="19"/>
      <c r="U86" s="19"/>
      <c r="V86" s="19"/>
      <c r="W86" s="19"/>
      <c r="X86" s="20"/>
    </row>
    <row r="87" spans="4:24">
      <c r="D87" s="17"/>
      <c r="E87" s="28">
        <v>16</v>
      </c>
      <c r="F87" s="39" t="s">
        <v>16</v>
      </c>
      <c r="G87" s="39">
        <f>SUMIFS(base_fuel,grad_col,Calculator!$E$7,curv_fuel,Calculator!$F$7,veh_class_fuel,'Additional inputs'!$E87)</f>
        <v>113.0883</v>
      </c>
      <c r="H87" s="39">
        <f>SUMIFS(k1_fuel,grad_col,Calculator!$E$7,curv_fuel,Calculator!$F$7,veh_class_fuel,'Additional inputs'!$E87)</f>
        <v>-0.1502</v>
      </c>
      <c r="I87" s="39">
        <f>SUMIFS(k2_fuel,grad_col,Calculator!$E$7,curv_fuel,Calculator!$F$7,veh_class_fuel,'Additional inputs'!$E87)</f>
        <v>4.9354899999999997</v>
      </c>
      <c r="J87" s="39">
        <f>SUMIFS(k3_fuel,grad_col,Calculator!$E$7,curv_fuel,Calculator!$F$7,veh_class_fuel,'Additional inputs'!$E87)</f>
        <v>5.7399999999999999E-5</v>
      </c>
      <c r="K87" s="39">
        <f>SUMIFS(k4_fuel,grad_col,Calculator!$E$7,curv_fuel,Calculator!$F$7,veh_class_fuel,'Additional inputs'!$E87)</f>
        <v>6.7039999999999999E-3</v>
      </c>
      <c r="L87" s="39">
        <f>SUMIFS(k5_fuel,grad_col,Calculator!$E$7,curv_fuel,Calculator!$F$7,veh_class_fuel,'Additional inputs'!$E87)</f>
        <v>2.9219999999999999E-2</v>
      </c>
      <c r="M87" s="44"/>
      <c r="N87" s="19"/>
      <c r="O87" s="19"/>
      <c r="P87" s="19"/>
      <c r="Q87" s="19"/>
      <c r="R87" s="19"/>
      <c r="S87" s="19"/>
      <c r="T87" s="19"/>
      <c r="U87" s="19"/>
      <c r="V87" s="19"/>
      <c r="W87" s="19"/>
      <c r="X87" s="20"/>
    </row>
    <row r="88" spans="4:24">
      <c r="D88" s="17"/>
      <c r="E88" s="28">
        <v>17</v>
      </c>
      <c r="F88" s="39" t="s">
        <v>17</v>
      </c>
      <c r="G88" s="39">
        <f>SUMIFS(base_fuel,grad_col,Calculator!$E$7,curv_fuel,Calculator!$F$7,veh_class_fuel,'Additional inputs'!$E88)</f>
        <v>122.907</v>
      </c>
      <c r="H88" s="39">
        <f>SUMIFS(k1_fuel,grad_col,Calculator!$E$7,curv_fuel,Calculator!$F$7,veh_class_fuel,'Additional inputs'!$E88)</f>
        <v>-0.15490999999999999</v>
      </c>
      <c r="I88" s="39">
        <f>SUMIFS(k2_fuel,grad_col,Calculator!$E$7,curv_fuel,Calculator!$F$7,veh_class_fuel,'Additional inputs'!$E88)</f>
        <v>4.6424390000000004</v>
      </c>
      <c r="J88" s="39">
        <f>SUMIFS(k3_fuel,grad_col,Calculator!$E$7,curv_fuel,Calculator!$F$7,veh_class_fuel,'Additional inputs'!$E88)</f>
        <v>5.9200000000000002E-5</v>
      </c>
      <c r="K88" s="39">
        <f>SUMIFS(k4_fuel,grad_col,Calculator!$E$7,curv_fuel,Calculator!$F$7,veh_class_fuel,'Additional inputs'!$E88)</f>
        <v>6.5230000000000002E-3</v>
      </c>
      <c r="L88" s="39">
        <f>SUMIFS(k5_fuel,grad_col,Calculator!$E$7,curv_fuel,Calculator!$F$7,veh_class_fuel,'Additional inputs'!$E88)</f>
        <v>2.7043000000000001E-2</v>
      </c>
      <c r="M88" s="44"/>
      <c r="N88" s="19"/>
      <c r="O88" s="19"/>
      <c r="P88" s="19"/>
      <c r="Q88" s="19"/>
      <c r="R88" s="19"/>
      <c r="S88" s="19"/>
      <c r="T88" s="19"/>
      <c r="U88" s="19"/>
      <c r="V88" s="19"/>
      <c r="W88" s="19"/>
      <c r="X88" s="20"/>
    </row>
    <row r="89" spans="4:24">
      <c r="D89" s="17"/>
      <c r="E89" s="28">
        <v>18</v>
      </c>
      <c r="F89" s="39" t="s">
        <v>18</v>
      </c>
      <c r="G89" s="39">
        <f>SUMIFS(base_fuel,grad_col,Calculator!$E$7,curv_fuel,Calculator!$F$7,veh_class_fuel,'Additional inputs'!$E89)</f>
        <v>139.35400000000001</v>
      </c>
      <c r="H89" s="39">
        <f>SUMIFS(k1_fuel,grad_col,Calculator!$E$7,curv_fuel,Calculator!$F$7,veh_class_fuel,'Additional inputs'!$E89)</f>
        <v>-0.24207000000000001</v>
      </c>
      <c r="I89" s="39">
        <f>SUMIFS(k2_fuel,grad_col,Calculator!$E$7,curv_fuel,Calculator!$F$7,veh_class_fuel,'Additional inputs'!$E89)</f>
        <v>4.7339770000000003</v>
      </c>
      <c r="J89" s="39">
        <f>SUMIFS(k3_fuel,grad_col,Calculator!$E$7,curv_fuel,Calculator!$F$7,veh_class_fuel,'Additional inputs'!$E89)</f>
        <v>9.1000000000000003E-5</v>
      </c>
      <c r="K89" s="39">
        <f>SUMIFS(k4_fuel,grad_col,Calculator!$E$7,curv_fuel,Calculator!$F$7,veh_class_fuel,'Additional inputs'!$E89)</f>
        <v>6.9239999999999996E-3</v>
      </c>
      <c r="L89" s="39">
        <f>SUMIFS(k5_fuel,grad_col,Calculator!$E$7,curv_fuel,Calculator!$F$7,veh_class_fuel,'Additional inputs'!$E89)</f>
        <v>2.4691000000000001E-2</v>
      </c>
      <c r="M89" s="44"/>
      <c r="N89" s="19"/>
      <c r="O89" s="19"/>
      <c r="P89" s="19"/>
      <c r="Q89" s="19"/>
      <c r="R89" s="19"/>
      <c r="S89" s="19"/>
      <c r="T89" s="19"/>
      <c r="U89" s="19"/>
      <c r="V89" s="19"/>
      <c r="W89" s="19"/>
      <c r="X89" s="20"/>
    </row>
    <row r="90" spans="4:24">
      <c r="D90" s="17"/>
      <c r="E90" s="28">
        <v>19</v>
      </c>
      <c r="F90" s="39" t="s">
        <v>19</v>
      </c>
      <c r="G90" s="39">
        <f>SUMIFS(base_fuel,grad_col,Calculator!$E$7,curv_fuel,Calculator!$F$7,veh_class_fuel,'Additional inputs'!$E90)</f>
        <v>155.98060000000001</v>
      </c>
      <c r="H90" s="39">
        <f>SUMIFS(k1_fuel,grad_col,Calculator!$E$7,curv_fuel,Calculator!$F$7,veh_class_fuel,'Additional inputs'!$E90)</f>
        <v>-0.31609999999999999</v>
      </c>
      <c r="I90" s="39">
        <f>SUMIFS(k2_fuel,grad_col,Calculator!$E$7,curv_fuel,Calculator!$F$7,veh_class_fuel,'Additional inputs'!$E90)</f>
        <v>4.7683280000000003</v>
      </c>
      <c r="J90" s="39">
        <f>SUMIFS(k3_fuel,grad_col,Calculator!$E$7,curv_fuel,Calculator!$F$7,veh_class_fuel,'Additional inputs'!$E90)</f>
        <v>1.25E-4</v>
      </c>
      <c r="K90" s="39">
        <f>SUMIFS(k4_fuel,grad_col,Calculator!$E$7,curv_fuel,Calculator!$F$7,veh_class_fuel,'Additional inputs'!$E90)</f>
        <v>7.3220000000000004E-3</v>
      </c>
      <c r="L90" s="39">
        <f>SUMIFS(k5_fuel,grad_col,Calculator!$E$7,curv_fuel,Calculator!$F$7,veh_class_fuel,'Additional inputs'!$E90)</f>
        <v>2.2700000000000001E-2</v>
      </c>
      <c r="M90" s="44"/>
      <c r="N90" s="19"/>
      <c r="O90" s="19"/>
      <c r="P90" s="19"/>
      <c r="Q90" s="19"/>
      <c r="R90" s="19"/>
      <c r="S90" s="19"/>
      <c r="T90" s="19"/>
      <c r="U90" s="19"/>
      <c r="V90" s="19"/>
      <c r="W90" s="19"/>
      <c r="X90" s="20"/>
    </row>
    <row r="91" spans="4:24">
      <c r="D91" s="17"/>
      <c r="E91" s="28">
        <v>20</v>
      </c>
      <c r="F91" s="39" t="s">
        <v>20</v>
      </c>
      <c r="G91" s="39">
        <f>SUMIFS(base_fuel,veh_class_fuel,'Additional inputs'!$E91,curv_fuel,Calculator!$F$7,grad_fuel,Calculator!$E$7)</f>
        <v>166.0829</v>
      </c>
      <c r="H91" s="39">
        <f>SUMIFS(k1_fuel,veh_class_fuel,'Additional inputs'!$E91,curv_fuel,Calculator!$F$7,grad_fuel,Calculator!$E$7)</f>
        <v>-0.31384000000000001</v>
      </c>
      <c r="I91" s="39">
        <f>SUMIFS(k2_fuel,veh_class_fuel,'Additional inputs'!$E91,curv_fuel,Calculator!$F$7,grad_fuel,Calculator!$E$7)</f>
        <v>4.5324790000000004</v>
      </c>
      <c r="J91" s="39">
        <f>SUMIFS(k3_fuel,veh_class_fuel,'Additional inputs'!$E91,curv_fuel,Calculator!$F$7,grad_fuel,Calculator!$E$7)</f>
        <v>1.27E-4</v>
      </c>
      <c r="K91" s="39">
        <f>SUMIFS(k4_fuel,veh_class_fuel,'Additional inputs'!$E91,curv_fuel,Calculator!$F$7,grad_fuel,Calculator!$E$7)</f>
        <v>7.1799999999999998E-3</v>
      </c>
      <c r="L91" s="39">
        <f>SUMIFS(k5_fuel,veh_class_fuel,'Additional inputs'!$E91,curv_fuel,Calculator!$F$7,grad_fuel,Calculator!$E$7)</f>
        <v>2.1415E-2</v>
      </c>
      <c r="M91" s="44"/>
      <c r="N91" s="19"/>
      <c r="O91" s="19"/>
      <c r="P91" s="19"/>
      <c r="Q91" s="19"/>
      <c r="R91" s="19"/>
      <c r="S91" s="19"/>
      <c r="T91" s="19"/>
      <c r="U91" s="19"/>
      <c r="V91" s="19"/>
      <c r="W91" s="19"/>
      <c r="X91" s="20"/>
    </row>
    <row r="92" spans="4:24">
      <c r="D92" s="17"/>
      <c r="E92" s="19"/>
      <c r="F92" s="44"/>
      <c r="G92" s="44"/>
      <c r="H92" s="44"/>
      <c r="I92" s="44"/>
      <c r="J92" s="44"/>
      <c r="K92" s="44"/>
      <c r="L92" s="44"/>
      <c r="M92" s="44"/>
      <c r="N92" s="19"/>
      <c r="O92" s="19"/>
      <c r="P92" s="19"/>
      <c r="Q92" s="19"/>
      <c r="R92" s="19"/>
      <c r="S92" s="19"/>
      <c r="T92" s="19"/>
      <c r="U92" s="19"/>
      <c r="V92" s="19"/>
      <c r="W92" s="19"/>
      <c r="X92" s="20"/>
    </row>
    <row r="93" spans="4:24">
      <c r="D93" s="17"/>
      <c r="E93" s="19"/>
      <c r="F93" s="44"/>
      <c r="G93" s="44"/>
      <c r="H93" s="44"/>
      <c r="I93" s="44"/>
      <c r="J93" s="44"/>
      <c r="K93" s="44"/>
      <c r="L93" s="44"/>
      <c r="M93" s="44"/>
      <c r="N93" s="19"/>
      <c r="O93" s="19"/>
      <c r="P93" s="19"/>
      <c r="Q93" s="19"/>
      <c r="R93" s="19"/>
      <c r="S93" s="19"/>
      <c r="T93" s="19"/>
      <c r="U93" s="19"/>
      <c r="V93" s="19"/>
      <c r="W93" s="19"/>
      <c r="X93" s="20"/>
    </row>
    <row r="94" spans="4:24">
      <c r="D94" s="17"/>
      <c r="E94" s="40" t="s">
        <v>167</v>
      </c>
      <c r="F94" s="48"/>
      <c r="G94" s="48"/>
      <c r="H94" s="48"/>
      <c r="I94" s="48"/>
      <c r="J94" s="19"/>
      <c r="K94" s="19"/>
      <c r="L94" s="19"/>
      <c r="M94" s="19"/>
      <c r="N94" s="19"/>
      <c r="O94" s="19"/>
      <c r="P94" s="19"/>
      <c r="Q94" s="19"/>
      <c r="R94" s="19"/>
      <c r="S94" s="19"/>
      <c r="T94" s="19"/>
      <c r="U94" s="19"/>
      <c r="V94" s="19"/>
      <c r="W94" s="19"/>
      <c r="X94" s="20"/>
    </row>
    <row r="95" spans="4:24">
      <c r="D95" s="60"/>
      <c r="E95" s="74" t="s">
        <v>127</v>
      </c>
      <c r="F95" s="74" t="s">
        <v>163</v>
      </c>
      <c r="G95" s="74" t="s">
        <v>164</v>
      </c>
      <c r="H95" s="74" t="s">
        <v>165</v>
      </c>
      <c r="I95" s="44"/>
      <c r="J95" s="44"/>
      <c r="K95" s="44"/>
      <c r="L95" s="44"/>
      <c r="M95" s="44"/>
      <c r="N95" s="44"/>
      <c r="O95" s="44"/>
      <c r="P95" s="44"/>
      <c r="Q95" s="44"/>
      <c r="R95" s="44"/>
      <c r="S95" s="44"/>
      <c r="T95" s="44"/>
      <c r="U95" s="44"/>
      <c r="V95" s="44"/>
      <c r="W95" s="44"/>
      <c r="X95" s="10"/>
    </row>
    <row r="96" spans="4:24">
      <c r="D96" s="60"/>
      <c r="E96" s="76" t="s">
        <v>128</v>
      </c>
      <c r="F96" s="77">
        <v>0.77400000000000002</v>
      </c>
      <c r="G96" s="77">
        <v>0.71349999999999991</v>
      </c>
      <c r="H96" s="77">
        <v>0.76060000000000005</v>
      </c>
      <c r="I96" s="44"/>
      <c r="J96" s="44"/>
      <c r="K96" s="44"/>
      <c r="L96" s="44"/>
      <c r="M96" s="44"/>
      <c r="N96" s="44"/>
      <c r="O96" s="44"/>
      <c r="P96" s="44"/>
      <c r="Q96" s="44"/>
      <c r="R96" s="44"/>
      <c r="S96" s="44"/>
      <c r="T96" s="44"/>
      <c r="U96" s="44"/>
      <c r="V96" s="44"/>
      <c r="W96" s="44"/>
      <c r="X96" s="10"/>
    </row>
    <row r="97" spans="4:24">
      <c r="D97" s="60"/>
      <c r="E97" s="72" t="s">
        <v>129</v>
      </c>
      <c r="F97" s="75">
        <v>0.77400000000000002</v>
      </c>
      <c r="G97" s="75">
        <v>0.71349999999999991</v>
      </c>
      <c r="H97" s="75">
        <v>0.76060000000000005</v>
      </c>
      <c r="I97" s="44"/>
      <c r="J97" s="44"/>
      <c r="K97" s="44"/>
      <c r="L97" s="44"/>
      <c r="M97" s="44"/>
      <c r="N97" s="44"/>
      <c r="O97" s="44"/>
      <c r="P97" s="44"/>
      <c r="Q97" s="44"/>
      <c r="R97" s="44"/>
      <c r="S97" s="44"/>
      <c r="T97" s="44"/>
      <c r="U97" s="44"/>
      <c r="V97" s="44"/>
      <c r="W97" s="44"/>
      <c r="X97" s="10"/>
    </row>
    <row r="98" spans="4:24">
      <c r="D98" s="60"/>
      <c r="E98" s="76" t="s">
        <v>130</v>
      </c>
      <c r="F98" s="77">
        <v>0.16579999999999998</v>
      </c>
      <c r="G98" s="77">
        <v>0.15839999999999999</v>
      </c>
      <c r="H98" s="77">
        <v>0.1641</v>
      </c>
      <c r="I98" s="44"/>
      <c r="J98" s="44"/>
      <c r="K98" s="44"/>
      <c r="L98" s="44"/>
      <c r="M98" s="44"/>
      <c r="N98" s="44"/>
      <c r="O98" s="44"/>
      <c r="P98" s="44"/>
      <c r="Q98" s="44"/>
      <c r="R98" s="44"/>
      <c r="S98" s="44"/>
      <c r="T98" s="44"/>
      <c r="U98" s="44"/>
      <c r="V98" s="44"/>
      <c r="W98" s="44"/>
      <c r="X98" s="10"/>
    </row>
    <row r="99" spans="4:24">
      <c r="D99" s="60"/>
      <c r="E99" s="72" t="s">
        <v>131</v>
      </c>
      <c r="F99" s="75">
        <v>9.6600000000000005E-2</v>
      </c>
      <c r="G99" s="75">
        <v>9.2300000000000007E-2</v>
      </c>
      <c r="H99" s="75">
        <v>9.5600000000000004E-2</v>
      </c>
      <c r="I99" s="44"/>
      <c r="J99" s="44"/>
      <c r="K99" s="44"/>
      <c r="L99" s="44"/>
      <c r="M99" s="44"/>
      <c r="N99" s="44"/>
      <c r="O99" s="44"/>
      <c r="P99" s="44"/>
      <c r="Q99" s="44"/>
      <c r="R99" s="44"/>
      <c r="S99" s="44"/>
      <c r="T99" s="44"/>
      <c r="U99" s="44"/>
      <c r="V99" s="44"/>
      <c r="W99" s="44"/>
      <c r="X99" s="10"/>
    </row>
    <row r="100" spans="4:24">
      <c r="D100" s="60"/>
      <c r="E100" s="72" t="s">
        <v>132</v>
      </c>
      <c r="F100" s="75">
        <v>6.9199999999999998E-2</v>
      </c>
      <c r="G100" s="75">
        <v>6.6100000000000006E-2</v>
      </c>
      <c r="H100" s="75">
        <v>6.8499999999999991E-2</v>
      </c>
      <c r="I100" s="44"/>
      <c r="J100" s="44"/>
      <c r="K100" s="44"/>
      <c r="L100" s="44"/>
      <c r="M100" s="44"/>
      <c r="N100" s="44"/>
      <c r="O100" s="44"/>
      <c r="P100" s="44"/>
      <c r="Q100" s="44"/>
      <c r="R100" s="44"/>
      <c r="S100" s="44"/>
      <c r="T100" s="44"/>
      <c r="U100" s="44"/>
      <c r="V100" s="44"/>
      <c r="W100" s="44"/>
      <c r="X100" s="10"/>
    </row>
    <row r="101" spans="4:24">
      <c r="D101" s="60"/>
      <c r="E101" s="76" t="s">
        <v>133</v>
      </c>
      <c r="F101" s="77">
        <v>3.6200000000000003E-2</v>
      </c>
      <c r="G101" s="77">
        <v>0.05</v>
      </c>
      <c r="H101" s="77">
        <v>3.9300000000000002E-2</v>
      </c>
      <c r="I101" s="44"/>
      <c r="J101" s="44"/>
      <c r="K101" s="44"/>
      <c r="L101" s="44"/>
      <c r="M101" s="44"/>
      <c r="N101" s="44"/>
      <c r="O101" s="44"/>
      <c r="P101" s="44"/>
      <c r="Q101" s="44"/>
      <c r="R101" s="44"/>
      <c r="S101" s="44"/>
      <c r="T101" s="44"/>
      <c r="U101" s="44"/>
      <c r="V101" s="44"/>
      <c r="W101" s="44"/>
      <c r="X101" s="10"/>
    </row>
    <row r="102" spans="4:24" ht="18" customHeight="1">
      <c r="D102" s="60"/>
      <c r="E102" s="72" t="s">
        <v>134</v>
      </c>
      <c r="F102" s="75">
        <v>5.7999999999999996E-3</v>
      </c>
      <c r="G102" s="75">
        <v>8.0000000000000002E-3</v>
      </c>
      <c r="H102" s="75">
        <v>6.3E-3</v>
      </c>
      <c r="I102" s="44"/>
      <c r="J102" s="44"/>
      <c r="K102" s="44"/>
      <c r="L102" s="44"/>
      <c r="M102" s="44"/>
      <c r="N102" s="44"/>
      <c r="O102" s="44"/>
      <c r="P102" s="44"/>
      <c r="Q102" s="44"/>
      <c r="R102" s="44"/>
      <c r="S102" s="44"/>
      <c r="T102" s="44"/>
      <c r="U102" s="44"/>
      <c r="V102" s="44"/>
      <c r="W102" s="44"/>
      <c r="X102" s="10"/>
    </row>
    <row r="103" spans="4:24" ht="15" customHeight="1">
      <c r="D103" s="60"/>
      <c r="E103" s="72" t="s">
        <v>135</v>
      </c>
      <c r="F103" s="75">
        <v>0.01</v>
      </c>
      <c r="G103" s="75">
        <v>1.38E-2</v>
      </c>
      <c r="H103" s="75">
        <v>1.09E-2</v>
      </c>
      <c r="I103" s="44"/>
      <c r="J103" s="44"/>
      <c r="K103" s="44"/>
      <c r="L103" s="44"/>
      <c r="M103" s="44"/>
      <c r="N103" s="44"/>
      <c r="O103" s="44"/>
      <c r="P103" s="44"/>
      <c r="Q103" s="44"/>
      <c r="R103" s="44"/>
      <c r="S103" s="44"/>
      <c r="T103" s="44"/>
      <c r="U103" s="44"/>
      <c r="V103" s="44"/>
      <c r="W103" s="44"/>
      <c r="X103" s="10"/>
    </row>
    <row r="104" spans="4:24">
      <c r="D104" s="60"/>
      <c r="E104" s="72" t="s">
        <v>136</v>
      </c>
      <c r="F104" s="75">
        <v>2.0400000000000001E-2</v>
      </c>
      <c r="G104" s="75">
        <v>2.8199999999999999E-2</v>
      </c>
      <c r="H104" s="75">
        <v>2.2099999999999998E-2</v>
      </c>
      <c r="I104" s="44"/>
      <c r="J104" s="44"/>
      <c r="K104" s="44"/>
      <c r="L104" s="44"/>
      <c r="M104" s="44"/>
      <c r="N104" s="44"/>
      <c r="O104" s="44"/>
      <c r="P104" s="44"/>
      <c r="Q104" s="44"/>
      <c r="R104" s="44"/>
      <c r="S104" s="44"/>
      <c r="T104" s="44"/>
      <c r="U104" s="44"/>
      <c r="V104" s="44"/>
      <c r="W104" s="44"/>
      <c r="X104" s="10"/>
    </row>
    <row r="105" spans="4:24">
      <c r="D105" s="60"/>
      <c r="E105" s="76" t="s">
        <v>137</v>
      </c>
      <c r="F105" s="77">
        <v>7.6E-3</v>
      </c>
      <c r="G105" s="77">
        <v>3.0699999999999998E-2</v>
      </c>
      <c r="H105" s="77">
        <v>1.2699999999999999E-2</v>
      </c>
      <c r="I105" s="44"/>
      <c r="J105" s="44"/>
      <c r="K105" s="44"/>
      <c r="L105" s="44"/>
      <c r="M105" s="44"/>
      <c r="N105" s="44"/>
      <c r="O105" s="44"/>
      <c r="P105" s="44"/>
      <c r="Q105" s="44"/>
      <c r="R105" s="44"/>
      <c r="S105" s="44"/>
      <c r="T105" s="44"/>
      <c r="U105" s="44"/>
      <c r="V105" s="44"/>
      <c r="W105" s="44"/>
      <c r="X105" s="10"/>
    </row>
    <row r="106" spans="4:24">
      <c r="D106" s="60"/>
      <c r="E106" s="72" t="s">
        <v>138</v>
      </c>
      <c r="F106" s="75">
        <v>2.3E-3</v>
      </c>
      <c r="G106" s="75">
        <v>3.2000000000000002E-3</v>
      </c>
      <c r="H106" s="75">
        <v>2.5000000000000001E-3</v>
      </c>
      <c r="I106" s="44"/>
      <c r="J106" s="44"/>
      <c r="K106" s="44"/>
      <c r="L106" s="44"/>
      <c r="M106" s="44"/>
      <c r="N106" s="44"/>
      <c r="O106" s="44"/>
      <c r="P106" s="44"/>
      <c r="Q106" s="44"/>
      <c r="R106" s="44"/>
      <c r="S106" s="44"/>
      <c r="T106" s="44"/>
      <c r="U106" s="44"/>
      <c r="V106" s="44"/>
      <c r="W106" s="44"/>
      <c r="X106" s="10"/>
    </row>
    <row r="107" spans="4:24">
      <c r="D107" s="60"/>
      <c r="E107" s="72" t="s">
        <v>139</v>
      </c>
      <c r="F107" s="75">
        <v>7.000000000000001E-4</v>
      </c>
      <c r="G107" s="75">
        <v>3.9000000000000003E-3</v>
      </c>
      <c r="H107" s="75">
        <v>1.4000000000000002E-3</v>
      </c>
      <c r="I107" s="44"/>
      <c r="J107" s="44"/>
      <c r="K107" s="44"/>
      <c r="L107" s="44"/>
      <c r="M107" s="44"/>
      <c r="N107" s="44"/>
      <c r="O107" s="44"/>
      <c r="P107" s="44"/>
      <c r="Q107" s="44"/>
      <c r="R107" s="44"/>
      <c r="S107" s="44"/>
      <c r="T107" s="44"/>
      <c r="U107" s="44"/>
      <c r="V107" s="44"/>
      <c r="W107" s="44"/>
      <c r="X107" s="10"/>
    </row>
    <row r="108" spans="4:24">
      <c r="D108" s="60"/>
      <c r="E108" s="72" t="s">
        <v>140</v>
      </c>
      <c r="F108" s="75">
        <v>4.5999999999999999E-3</v>
      </c>
      <c r="G108" s="75">
        <v>2.3599999999999999E-2</v>
      </c>
      <c r="H108" s="75">
        <v>8.8000000000000005E-3</v>
      </c>
      <c r="I108" s="44"/>
      <c r="J108" s="44"/>
      <c r="K108" s="44"/>
      <c r="L108" s="44"/>
      <c r="M108" s="44"/>
      <c r="N108" s="44"/>
      <c r="O108" s="44"/>
      <c r="P108" s="44"/>
      <c r="Q108" s="44"/>
      <c r="R108" s="44"/>
      <c r="S108" s="44"/>
      <c r="T108" s="44"/>
      <c r="U108" s="44"/>
      <c r="V108" s="44"/>
      <c r="W108" s="44"/>
      <c r="X108" s="10"/>
    </row>
    <row r="109" spans="4:24">
      <c r="D109" s="60"/>
      <c r="E109" s="76" t="s">
        <v>141</v>
      </c>
      <c r="F109" s="77">
        <v>7.7000000000000002E-3</v>
      </c>
      <c r="G109" s="77">
        <v>3.95E-2</v>
      </c>
      <c r="H109" s="77">
        <v>1.4499999999999999E-2</v>
      </c>
      <c r="I109" s="44"/>
      <c r="J109" s="44"/>
      <c r="K109" s="44"/>
      <c r="L109" s="44"/>
      <c r="M109" s="44"/>
      <c r="N109" s="44"/>
      <c r="O109" s="44"/>
      <c r="P109" s="44"/>
      <c r="Q109" s="44"/>
      <c r="R109" s="44"/>
      <c r="S109" s="44"/>
      <c r="T109" s="44"/>
      <c r="U109" s="44"/>
      <c r="V109" s="44"/>
      <c r="W109" s="44"/>
      <c r="X109" s="10"/>
    </row>
    <row r="110" spans="4:24">
      <c r="D110" s="60"/>
      <c r="E110" s="72" t="s">
        <v>142</v>
      </c>
      <c r="F110" s="75">
        <v>1E-4</v>
      </c>
      <c r="G110" s="75">
        <v>5.9999999999999995E-4</v>
      </c>
      <c r="H110" s="75">
        <v>2.0000000000000001E-4</v>
      </c>
      <c r="I110" s="44"/>
      <c r="J110" s="44"/>
      <c r="K110" s="44"/>
      <c r="L110" s="44"/>
      <c r="M110" s="44"/>
      <c r="N110" s="44"/>
      <c r="O110" s="44"/>
      <c r="P110" s="44"/>
      <c r="Q110" s="44"/>
      <c r="R110" s="44"/>
      <c r="S110" s="44"/>
      <c r="T110" s="44"/>
      <c r="U110" s="44"/>
      <c r="V110" s="44"/>
      <c r="W110" s="44"/>
      <c r="X110" s="10"/>
    </row>
    <row r="111" spans="4:24">
      <c r="D111" s="60"/>
      <c r="E111" s="72" t="s">
        <v>143</v>
      </c>
      <c r="F111" s="75">
        <v>6.9999999999999993E-3</v>
      </c>
      <c r="G111" s="75">
        <v>3.6000000000000004E-2</v>
      </c>
      <c r="H111" s="75">
        <v>1.34E-2</v>
      </c>
      <c r="I111" s="44"/>
      <c r="J111" s="44"/>
      <c r="K111" s="44"/>
      <c r="L111" s="44"/>
      <c r="M111" s="44"/>
      <c r="N111" s="44"/>
      <c r="O111" s="44"/>
      <c r="P111" s="44"/>
      <c r="Q111" s="44"/>
      <c r="R111" s="44"/>
      <c r="S111" s="44"/>
      <c r="T111" s="44"/>
      <c r="U111" s="44"/>
      <c r="V111" s="44"/>
      <c r="W111" s="44"/>
      <c r="X111" s="10"/>
    </row>
    <row r="112" spans="4:24">
      <c r="D112" s="60"/>
      <c r="E112" s="72" t="s">
        <v>144</v>
      </c>
      <c r="F112" s="75">
        <v>1E-4</v>
      </c>
      <c r="G112" s="75">
        <v>5.9999999999999995E-4</v>
      </c>
      <c r="H112" s="75">
        <v>2.0000000000000001E-4</v>
      </c>
      <c r="I112" s="44"/>
      <c r="J112" s="44"/>
      <c r="K112" s="44"/>
      <c r="L112" s="44"/>
      <c r="M112" s="44"/>
      <c r="N112" s="44"/>
      <c r="O112" s="44"/>
      <c r="P112" s="44"/>
      <c r="Q112" s="44"/>
      <c r="R112" s="44"/>
      <c r="S112" s="44"/>
      <c r="T112" s="44"/>
      <c r="U112" s="44"/>
      <c r="V112" s="44"/>
      <c r="W112" s="44"/>
      <c r="X112" s="10"/>
    </row>
    <row r="113" spans="4:24">
      <c r="D113" s="60"/>
      <c r="E113" s="72" t="s">
        <v>145</v>
      </c>
      <c r="F113" s="75">
        <v>1E-4</v>
      </c>
      <c r="G113" s="75">
        <v>5.9999999999999995E-4</v>
      </c>
      <c r="H113" s="75">
        <v>2.0000000000000001E-4</v>
      </c>
      <c r="I113" s="44"/>
      <c r="J113" s="44"/>
      <c r="K113" s="44"/>
      <c r="L113" s="44"/>
      <c r="M113" s="44"/>
      <c r="N113" s="44"/>
      <c r="O113" s="44"/>
      <c r="P113" s="44"/>
      <c r="Q113" s="44"/>
      <c r="R113" s="44"/>
      <c r="S113" s="44"/>
      <c r="T113" s="44"/>
      <c r="U113" s="44"/>
      <c r="V113" s="44"/>
      <c r="W113" s="44"/>
      <c r="X113" s="10"/>
    </row>
    <row r="114" spans="4:24">
      <c r="D114" s="60"/>
      <c r="E114" s="72" t="s">
        <v>146</v>
      </c>
      <c r="F114" s="75">
        <v>1E-4</v>
      </c>
      <c r="G114" s="75">
        <v>4.0000000000000002E-4</v>
      </c>
      <c r="H114" s="75">
        <v>1E-4</v>
      </c>
      <c r="I114" s="44"/>
      <c r="J114" s="44"/>
      <c r="K114" s="44"/>
      <c r="L114" s="44"/>
      <c r="M114" s="44"/>
      <c r="N114" s="44"/>
      <c r="O114" s="44"/>
      <c r="P114" s="44"/>
      <c r="Q114" s="44"/>
      <c r="R114" s="44"/>
      <c r="S114" s="44"/>
      <c r="T114" s="44"/>
      <c r="U114" s="44"/>
      <c r="V114" s="44"/>
      <c r="W114" s="44"/>
      <c r="X114" s="10"/>
    </row>
    <row r="115" spans="4:24">
      <c r="D115" s="60"/>
      <c r="E115" s="72" t="s">
        <v>147</v>
      </c>
      <c r="F115" s="75">
        <v>1E-4</v>
      </c>
      <c r="G115" s="75">
        <v>1E-4</v>
      </c>
      <c r="H115" s="75">
        <v>1E-4</v>
      </c>
      <c r="I115" s="44"/>
      <c r="J115" s="44"/>
      <c r="K115" s="44"/>
      <c r="L115" s="44"/>
      <c r="M115" s="44"/>
      <c r="N115" s="44"/>
      <c r="O115" s="44"/>
      <c r="P115" s="44"/>
      <c r="Q115" s="44"/>
      <c r="R115" s="44"/>
      <c r="S115" s="44"/>
      <c r="T115" s="44"/>
      <c r="U115" s="44"/>
      <c r="V115" s="44"/>
      <c r="W115" s="44"/>
      <c r="X115" s="10"/>
    </row>
    <row r="116" spans="4:24">
      <c r="D116" s="60"/>
      <c r="E116" s="72" t="s">
        <v>148</v>
      </c>
      <c r="F116" s="75">
        <v>1E-4</v>
      </c>
      <c r="G116" s="75">
        <v>4.0000000000000002E-4</v>
      </c>
      <c r="H116" s="75">
        <v>1E-4</v>
      </c>
      <c r="I116" s="44"/>
      <c r="J116" s="44"/>
      <c r="K116" s="44"/>
      <c r="L116" s="44"/>
      <c r="M116" s="44"/>
      <c r="N116" s="44"/>
      <c r="O116" s="44"/>
      <c r="P116" s="44"/>
      <c r="Q116" s="44"/>
      <c r="R116" s="44"/>
      <c r="S116" s="44"/>
      <c r="T116" s="44"/>
      <c r="U116" s="44"/>
      <c r="V116" s="44"/>
      <c r="W116" s="44"/>
      <c r="X116" s="10"/>
    </row>
    <row r="117" spans="4:24">
      <c r="D117" s="60"/>
      <c r="E117" s="72" t="s">
        <v>143</v>
      </c>
      <c r="F117" s="75">
        <v>1E-4</v>
      </c>
      <c r="G117" s="75">
        <v>5.0000000000000001E-4</v>
      </c>
      <c r="H117" s="75">
        <v>2.0000000000000001E-4</v>
      </c>
      <c r="I117" s="44"/>
      <c r="J117" s="44"/>
      <c r="K117" s="44"/>
      <c r="L117" s="44"/>
      <c r="M117" s="44"/>
      <c r="N117" s="44"/>
      <c r="O117" s="44"/>
      <c r="P117" s="44"/>
      <c r="Q117" s="44"/>
      <c r="R117" s="44"/>
      <c r="S117" s="44"/>
      <c r="T117" s="44"/>
      <c r="U117" s="44"/>
      <c r="V117" s="44"/>
      <c r="W117" s="44"/>
      <c r="X117" s="10"/>
    </row>
    <row r="118" spans="4:24">
      <c r="D118" s="60"/>
      <c r="E118" s="76" t="s">
        <v>149</v>
      </c>
      <c r="F118" s="77">
        <v>8.6E-3</v>
      </c>
      <c r="G118" s="77">
        <v>7.7000000000000002E-3</v>
      </c>
      <c r="H118" s="77">
        <v>8.3999999999999995E-3</v>
      </c>
      <c r="I118" s="44"/>
      <c r="J118" s="44"/>
      <c r="K118" s="44"/>
      <c r="L118" s="44"/>
      <c r="M118" s="44"/>
      <c r="N118" s="44"/>
      <c r="O118" s="44"/>
      <c r="P118" s="44"/>
      <c r="Q118" s="44"/>
      <c r="R118" s="44"/>
      <c r="S118" s="44"/>
      <c r="T118" s="44"/>
      <c r="U118" s="44"/>
      <c r="V118" s="44"/>
      <c r="W118" s="44"/>
      <c r="X118" s="10"/>
    </row>
    <row r="119" spans="4:24">
      <c r="D119" s="60"/>
      <c r="E119" s="72" t="s">
        <v>150</v>
      </c>
      <c r="F119" s="75">
        <v>8.6E-3</v>
      </c>
      <c r="G119" s="75">
        <v>7.7000000000000002E-3</v>
      </c>
      <c r="H119" s="75">
        <v>8.3999999999999995E-3</v>
      </c>
      <c r="I119" s="44"/>
      <c r="J119" s="44"/>
      <c r="K119" s="44"/>
      <c r="L119" s="44"/>
      <c r="M119" s="44"/>
      <c r="N119" s="44"/>
      <c r="O119" s="44"/>
      <c r="P119" s="44"/>
      <c r="Q119" s="44"/>
      <c r="R119" s="44"/>
      <c r="S119" s="44"/>
      <c r="T119" s="44"/>
      <c r="U119" s="44"/>
      <c r="V119" s="44"/>
      <c r="W119" s="44"/>
      <c r="X119" s="10"/>
    </row>
    <row r="120" spans="4:24">
      <c r="D120" s="45"/>
      <c r="E120" s="66"/>
      <c r="F120" s="66"/>
      <c r="G120" s="66"/>
      <c r="H120" s="66"/>
      <c r="I120" s="66"/>
      <c r="J120" s="66"/>
      <c r="K120" s="66"/>
      <c r="L120" s="66"/>
      <c r="M120" s="66"/>
      <c r="N120" s="66"/>
      <c r="O120" s="66"/>
      <c r="P120" s="66"/>
      <c r="Q120" s="66"/>
      <c r="R120" s="66"/>
      <c r="S120" s="66"/>
      <c r="T120" s="66"/>
      <c r="U120" s="66"/>
      <c r="V120" s="66"/>
      <c r="W120" s="66"/>
      <c r="X120" s="67"/>
    </row>
    <row r="121" spans="4:24"/>
    <row r="122" spans="4:24"/>
    <row r="123" spans="4:24"/>
    <row r="124" spans="4:24"/>
    <row r="125" spans="4:24"/>
    <row r="126" spans="4:24"/>
    <row r="127" spans="4:24"/>
    <row r="128" spans="4:24"/>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sheetData>
  <customSheetViews>
    <customSheetView guid="{5C6A6B42-DFAF-4739-B7D4-CA7A880613DB}" showGridLines="0" topLeftCell="B1">
      <selection activeCell="E17" sqref="E17"/>
      <pageMargins left="0.7" right="0.7" top="0.75" bottom="0.75" header="0.3" footer="0.3"/>
    </customSheetView>
  </customSheetView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98"/>
  <sheetViews>
    <sheetView topLeftCell="A184" workbookViewId="0">
      <selection activeCell="C109" sqref="C109"/>
    </sheetView>
  </sheetViews>
  <sheetFormatPr defaultRowHeight="14.4"/>
  <cols>
    <col min="1" max="1" width="14.21875" customWidth="1"/>
    <col min="2" max="2" width="16.77734375" customWidth="1"/>
    <col min="3" max="3" width="15.21875" customWidth="1"/>
  </cols>
  <sheetData>
    <row r="1" spans="1:3" ht="43.2">
      <c r="A1" s="1"/>
      <c r="B1" s="5" t="s">
        <v>39</v>
      </c>
      <c r="C1" t="s">
        <v>117</v>
      </c>
    </row>
    <row r="2" spans="1:3">
      <c r="A2" s="2" t="s">
        <v>45</v>
      </c>
      <c r="B2" t="s">
        <v>40</v>
      </c>
    </row>
    <row r="3" spans="1:3">
      <c r="A3" s="2" t="s">
        <v>46</v>
      </c>
      <c r="B3" t="s">
        <v>41</v>
      </c>
    </row>
    <row r="4" spans="1:3">
      <c r="A4" s="2" t="s">
        <v>47</v>
      </c>
      <c r="B4" t="s">
        <v>42</v>
      </c>
    </row>
    <row r="5" spans="1:3">
      <c r="A5" s="2" t="s">
        <v>48</v>
      </c>
      <c r="B5" t="s">
        <v>43</v>
      </c>
    </row>
    <row r="6" spans="1:3">
      <c r="A6" s="2" t="s">
        <v>49</v>
      </c>
      <c r="B6">
        <v>3</v>
      </c>
    </row>
    <row r="7" spans="1:3">
      <c r="A7" s="3" t="s">
        <v>50</v>
      </c>
      <c r="B7">
        <v>26543</v>
      </c>
    </row>
    <row r="8" spans="1:3">
      <c r="A8" s="3" t="s">
        <v>51</v>
      </c>
      <c r="B8">
        <v>43617</v>
      </c>
    </row>
    <row r="9" spans="1:3">
      <c r="A9" s="2" t="s">
        <v>52</v>
      </c>
      <c r="B9">
        <v>188</v>
      </c>
    </row>
    <row r="10" spans="1:3">
      <c r="A10" s="2" t="s">
        <v>53</v>
      </c>
      <c r="B10" t="s">
        <v>44</v>
      </c>
    </row>
    <row r="11" spans="1:3">
      <c r="A11" s="4">
        <v>26543</v>
      </c>
      <c r="B11">
        <v>11.4</v>
      </c>
    </row>
    <row r="12" spans="1:3">
      <c r="A12" s="4">
        <v>26634</v>
      </c>
      <c r="B12">
        <v>11.4</v>
      </c>
    </row>
    <row r="13" spans="1:3">
      <c r="A13" s="4">
        <v>26724</v>
      </c>
      <c r="B13">
        <v>11.4</v>
      </c>
    </row>
    <row r="14" spans="1:3">
      <c r="A14" s="4">
        <v>26816</v>
      </c>
      <c r="B14">
        <v>11.6</v>
      </c>
    </row>
    <row r="15" spans="1:3">
      <c r="A15" s="4">
        <v>26908</v>
      </c>
      <c r="B15">
        <v>11.8</v>
      </c>
    </row>
    <row r="16" spans="1:3">
      <c r="A16" s="4">
        <v>26999</v>
      </c>
      <c r="B16">
        <v>12.2</v>
      </c>
    </row>
    <row r="17" spans="1:2">
      <c r="A17" s="4">
        <v>27089</v>
      </c>
      <c r="B17">
        <v>12.5</v>
      </c>
    </row>
    <row r="18" spans="1:2">
      <c r="A18" s="4">
        <v>27181</v>
      </c>
      <c r="B18">
        <v>12.7</v>
      </c>
    </row>
    <row r="19" spans="1:2">
      <c r="A19" s="4">
        <v>27273</v>
      </c>
      <c r="B19">
        <v>13.9</v>
      </c>
    </row>
    <row r="20" spans="1:2">
      <c r="A20" s="4">
        <v>27364</v>
      </c>
      <c r="B20">
        <v>14.6</v>
      </c>
    </row>
    <row r="21" spans="1:2">
      <c r="A21" s="4">
        <v>27454</v>
      </c>
      <c r="B21">
        <v>15.4</v>
      </c>
    </row>
    <row r="22" spans="1:2">
      <c r="A22" s="4">
        <v>27546</v>
      </c>
      <c r="B22">
        <v>15.8</v>
      </c>
    </row>
    <row r="23" spans="1:2">
      <c r="A23" s="4">
        <v>27638</v>
      </c>
      <c r="B23">
        <v>16.8</v>
      </c>
    </row>
    <row r="24" spans="1:2">
      <c r="A24" s="4">
        <v>27729</v>
      </c>
      <c r="B24">
        <v>17.8</v>
      </c>
    </row>
    <row r="25" spans="1:2">
      <c r="A25" s="4">
        <v>27820</v>
      </c>
      <c r="B25">
        <v>18.399999999999999</v>
      </c>
    </row>
    <row r="26" spans="1:2">
      <c r="A26" s="4">
        <v>27912</v>
      </c>
      <c r="B26">
        <v>18.3</v>
      </c>
    </row>
    <row r="27" spans="1:2">
      <c r="A27" s="4">
        <v>28004</v>
      </c>
      <c r="B27">
        <v>18.7</v>
      </c>
    </row>
    <row r="28" spans="1:2">
      <c r="A28" s="4">
        <v>28095</v>
      </c>
      <c r="B28">
        <v>18.899999999999999</v>
      </c>
    </row>
    <row r="29" spans="1:2">
      <c r="A29" s="4">
        <v>28185</v>
      </c>
      <c r="B29">
        <v>19.600000000000001</v>
      </c>
    </row>
    <row r="30" spans="1:2">
      <c r="A30" s="4">
        <v>28277</v>
      </c>
      <c r="B30">
        <v>19.8</v>
      </c>
    </row>
    <row r="31" spans="1:2">
      <c r="A31" s="4">
        <v>28369</v>
      </c>
      <c r="B31">
        <v>20.100000000000001</v>
      </c>
    </row>
    <row r="32" spans="1:2">
      <c r="A32" s="4">
        <v>28460</v>
      </c>
      <c r="B32">
        <v>20.7</v>
      </c>
    </row>
    <row r="33" spans="1:2">
      <c r="A33" s="4">
        <v>28550</v>
      </c>
      <c r="B33">
        <v>21</v>
      </c>
    </row>
    <row r="34" spans="1:2">
      <c r="A34" s="4">
        <v>28642</v>
      </c>
      <c r="B34">
        <v>21.3</v>
      </c>
    </row>
    <row r="35" spans="1:2">
      <c r="A35" s="4">
        <v>28734</v>
      </c>
      <c r="B35">
        <v>21.8</v>
      </c>
    </row>
    <row r="36" spans="1:2">
      <c r="A36" s="4">
        <v>28825</v>
      </c>
      <c r="B36">
        <v>22.6</v>
      </c>
    </row>
    <row r="37" spans="1:2">
      <c r="A37" s="4">
        <v>28915</v>
      </c>
      <c r="B37">
        <v>23.4</v>
      </c>
    </row>
    <row r="38" spans="1:2">
      <c r="A38" s="4">
        <v>29007</v>
      </c>
      <c r="B38">
        <v>24</v>
      </c>
    </row>
    <row r="39" spans="1:2">
      <c r="A39" s="4">
        <v>29099</v>
      </c>
      <c r="B39">
        <v>24.6</v>
      </c>
    </row>
    <row r="40" spans="1:2">
      <c r="A40" s="4">
        <v>29190</v>
      </c>
      <c r="B40">
        <v>25.5</v>
      </c>
    </row>
    <row r="41" spans="1:2">
      <c r="A41" s="4">
        <v>29281</v>
      </c>
      <c r="B41">
        <v>25.5</v>
      </c>
    </row>
    <row r="42" spans="1:2">
      <c r="A42" s="4">
        <v>29373</v>
      </c>
      <c r="B42">
        <v>27.1</v>
      </c>
    </row>
    <row r="43" spans="1:2">
      <c r="A43" s="4">
        <v>29465</v>
      </c>
      <c r="B43">
        <v>26.9</v>
      </c>
    </row>
    <row r="44" spans="1:2">
      <c r="A44" s="4">
        <v>29556</v>
      </c>
      <c r="B44">
        <v>27.3</v>
      </c>
    </row>
    <row r="45" spans="1:2">
      <c r="A45" s="4">
        <v>29646</v>
      </c>
      <c r="B45">
        <v>28.1</v>
      </c>
    </row>
    <row r="46" spans="1:2">
      <c r="A46" s="4">
        <v>29738</v>
      </c>
      <c r="B46">
        <v>29</v>
      </c>
    </row>
    <row r="47" spans="1:2">
      <c r="A47" s="4">
        <v>29830</v>
      </c>
      <c r="B47">
        <v>29</v>
      </c>
    </row>
    <row r="48" spans="1:2">
      <c r="A48" s="4">
        <v>29921</v>
      </c>
      <c r="B48">
        <v>30.3</v>
      </c>
    </row>
    <row r="49" spans="1:2">
      <c r="A49" s="4">
        <v>30011</v>
      </c>
      <c r="B49">
        <v>30.9</v>
      </c>
    </row>
    <row r="50" spans="1:2">
      <c r="A50" s="4">
        <v>30103</v>
      </c>
      <c r="B50">
        <v>32.1</v>
      </c>
    </row>
    <row r="51" spans="1:2">
      <c r="A51" s="4">
        <v>30195</v>
      </c>
      <c r="B51">
        <v>34.200000000000003</v>
      </c>
    </row>
    <row r="52" spans="1:2">
      <c r="A52" s="4">
        <v>30286</v>
      </c>
      <c r="B52">
        <v>34.799999999999997</v>
      </c>
    </row>
    <row r="53" spans="1:2">
      <c r="A53" s="4">
        <v>30376</v>
      </c>
      <c r="B53">
        <v>35.9</v>
      </c>
    </row>
    <row r="54" spans="1:2">
      <c r="A54" s="4">
        <v>30468</v>
      </c>
      <c r="B54">
        <v>35.6</v>
      </c>
    </row>
    <row r="55" spans="1:2">
      <c r="A55" s="4">
        <v>30560</v>
      </c>
      <c r="B55">
        <v>36.799999999999997</v>
      </c>
    </row>
    <row r="56" spans="1:2">
      <c r="A56" s="4">
        <v>30651</v>
      </c>
      <c r="B56">
        <v>37.5</v>
      </c>
    </row>
    <row r="57" spans="1:2">
      <c r="A57" s="4">
        <v>30742</v>
      </c>
      <c r="B57">
        <v>37.799999999999997</v>
      </c>
    </row>
    <row r="58" spans="1:2">
      <c r="A58" s="4">
        <v>30834</v>
      </c>
      <c r="B58">
        <v>38.700000000000003</v>
      </c>
    </row>
    <row r="59" spans="1:2">
      <c r="A59" s="4">
        <v>30926</v>
      </c>
      <c r="B59">
        <v>39.200000000000003</v>
      </c>
    </row>
    <row r="60" spans="1:2">
      <c r="A60" s="4">
        <v>31017</v>
      </c>
      <c r="B60">
        <v>39.5</v>
      </c>
    </row>
    <row r="61" spans="1:2">
      <c r="A61" s="4">
        <v>31107</v>
      </c>
      <c r="B61">
        <v>40.4</v>
      </c>
    </row>
    <row r="62" spans="1:2">
      <c r="A62" s="4">
        <v>31199</v>
      </c>
      <c r="B62">
        <v>42.2</v>
      </c>
    </row>
    <row r="63" spans="1:2">
      <c r="A63" s="4">
        <v>31291</v>
      </c>
      <c r="B63">
        <v>42.8</v>
      </c>
    </row>
    <row r="64" spans="1:2">
      <c r="A64" s="4">
        <v>31382</v>
      </c>
      <c r="B64">
        <v>43.4</v>
      </c>
    </row>
    <row r="65" spans="1:2">
      <c r="A65" s="4">
        <v>31472</v>
      </c>
      <c r="B65">
        <v>44.8</v>
      </c>
    </row>
    <row r="66" spans="1:2">
      <c r="A66" s="4">
        <v>31564</v>
      </c>
      <c r="B66">
        <v>44.4</v>
      </c>
    </row>
    <row r="67" spans="1:2">
      <c r="A67" s="4">
        <v>31656</v>
      </c>
      <c r="B67">
        <v>46.7</v>
      </c>
    </row>
    <row r="68" spans="1:2">
      <c r="A68" s="4">
        <v>31747</v>
      </c>
      <c r="B68">
        <v>48.6</v>
      </c>
    </row>
    <row r="69" spans="1:2">
      <c r="A69" s="4">
        <v>31837</v>
      </c>
      <c r="B69">
        <v>50.2</v>
      </c>
    </row>
    <row r="70" spans="1:2">
      <c r="A70" s="4">
        <v>31929</v>
      </c>
      <c r="B70">
        <v>50.4</v>
      </c>
    </row>
    <row r="71" spans="1:2">
      <c r="A71" s="4">
        <v>32021</v>
      </c>
      <c r="B71">
        <v>51.8</v>
      </c>
    </row>
    <row r="72" spans="1:2">
      <c r="A72" s="4">
        <v>32112</v>
      </c>
      <c r="B72">
        <v>52.7</v>
      </c>
    </row>
    <row r="73" spans="1:2">
      <c r="A73" s="4">
        <v>32203</v>
      </c>
      <c r="B73">
        <v>53.9</v>
      </c>
    </row>
    <row r="74" spans="1:2">
      <c r="A74" s="4">
        <v>32295</v>
      </c>
      <c r="B74">
        <v>53</v>
      </c>
    </row>
    <row r="75" spans="1:2">
      <c r="A75" s="4">
        <v>32387</v>
      </c>
      <c r="B75">
        <v>54.2</v>
      </c>
    </row>
    <row r="76" spans="1:2">
      <c r="A76" s="4">
        <v>32478</v>
      </c>
      <c r="B76">
        <v>54.2</v>
      </c>
    </row>
    <row r="77" spans="1:2">
      <c r="A77" s="4">
        <v>32568</v>
      </c>
      <c r="B77">
        <v>54.4</v>
      </c>
    </row>
    <row r="78" spans="1:2">
      <c r="A78" s="4">
        <v>32660</v>
      </c>
      <c r="B78">
        <v>55.7</v>
      </c>
    </row>
    <row r="79" spans="1:2">
      <c r="A79" s="4">
        <v>32752</v>
      </c>
      <c r="B79">
        <v>58</v>
      </c>
    </row>
    <row r="80" spans="1:2">
      <c r="A80" s="4">
        <v>32843</v>
      </c>
      <c r="B80">
        <v>59.7</v>
      </c>
    </row>
    <row r="81" spans="1:2">
      <c r="A81" s="4">
        <v>32933</v>
      </c>
      <c r="B81">
        <v>61.5</v>
      </c>
    </row>
    <row r="82" spans="1:2">
      <c r="A82" s="4">
        <v>33025</v>
      </c>
      <c r="B82">
        <v>61.8</v>
      </c>
    </row>
    <row r="83" spans="1:2">
      <c r="A83" s="4">
        <v>33117</v>
      </c>
      <c r="B83">
        <v>63.3</v>
      </c>
    </row>
    <row r="84" spans="1:2">
      <c r="A84" s="4">
        <v>33208</v>
      </c>
      <c r="B84">
        <v>67.099999999999994</v>
      </c>
    </row>
    <row r="85" spans="1:2">
      <c r="A85" s="4">
        <v>33298</v>
      </c>
      <c r="B85">
        <v>64.2</v>
      </c>
    </row>
    <row r="86" spans="1:2">
      <c r="A86" s="4">
        <v>33390</v>
      </c>
      <c r="B86">
        <v>63.2</v>
      </c>
    </row>
    <row r="87" spans="1:2">
      <c r="A87" s="4">
        <v>33482</v>
      </c>
      <c r="B87">
        <v>63.3</v>
      </c>
    </row>
    <row r="88" spans="1:2">
      <c r="A88" s="4">
        <v>33573</v>
      </c>
      <c r="B88">
        <v>64.8</v>
      </c>
    </row>
    <row r="89" spans="1:2">
      <c r="A89" s="4">
        <v>33664</v>
      </c>
      <c r="B89">
        <v>64.7</v>
      </c>
    </row>
    <row r="90" spans="1:2">
      <c r="A90" s="4">
        <v>33756</v>
      </c>
      <c r="B90">
        <v>63.9</v>
      </c>
    </row>
    <row r="91" spans="1:2">
      <c r="A91" s="4">
        <v>33848</v>
      </c>
      <c r="B91">
        <v>65.099999999999994</v>
      </c>
    </row>
    <row r="92" spans="1:2">
      <c r="A92" s="4">
        <v>33939</v>
      </c>
      <c r="B92">
        <v>65</v>
      </c>
    </row>
    <row r="93" spans="1:2">
      <c r="A93" s="4">
        <v>34029</v>
      </c>
      <c r="B93">
        <v>65</v>
      </c>
    </row>
    <row r="94" spans="1:2">
      <c r="A94" s="4">
        <v>34121</v>
      </c>
      <c r="B94">
        <v>65.599999999999994</v>
      </c>
    </row>
    <row r="95" spans="1:2">
      <c r="A95" s="4">
        <v>34213</v>
      </c>
      <c r="B95">
        <v>66</v>
      </c>
    </row>
    <row r="96" spans="1:2">
      <c r="A96" s="4">
        <v>34304</v>
      </c>
      <c r="B96">
        <v>65.900000000000006</v>
      </c>
    </row>
    <row r="97" spans="1:3">
      <c r="A97" s="4">
        <v>34394</v>
      </c>
      <c r="B97">
        <v>66</v>
      </c>
    </row>
    <row r="98" spans="1:3">
      <c r="A98" s="4">
        <v>34486</v>
      </c>
      <c r="B98">
        <v>67.2</v>
      </c>
    </row>
    <row r="99" spans="1:3">
      <c r="A99" s="4">
        <v>34578</v>
      </c>
      <c r="B99">
        <v>68.8</v>
      </c>
    </row>
    <row r="100" spans="1:3">
      <c r="A100" s="4">
        <v>34669</v>
      </c>
      <c r="B100">
        <v>68.599999999999994</v>
      </c>
    </row>
    <row r="101" spans="1:3">
      <c r="A101" s="4">
        <v>34759</v>
      </c>
      <c r="B101">
        <v>68.900000000000006</v>
      </c>
    </row>
    <row r="102" spans="1:3">
      <c r="A102" s="4">
        <v>34851</v>
      </c>
      <c r="B102">
        <v>69.8</v>
      </c>
    </row>
    <row r="103" spans="1:3">
      <c r="A103" s="4">
        <v>34943</v>
      </c>
      <c r="B103">
        <v>72.3</v>
      </c>
    </row>
    <row r="104" spans="1:3">
      <c r="A104" s="4">
        <v>35034</v>
      </c>
      <c r="B104">
        <v>72.900000000000006</v>
      </c>
    </row>
    <row r="105" spans="1:3">
      <c r="A105" s="4">
        <v>35125</v>
      </c>
      <c r="B105">
        <v>73.400000000000006</v>
      </c>
    </row>
    <row r="106" spans="1:3">
      <c r="A106" s="4">
        <v>35217</v>
      </c>
      <c r="B106">
        <v>74.400000000000006</v>
      </c>
    </row>
    <row r="107" spans="1:3">
      <c r="A107" s="4">
        <v>35309</v>
      </c>
      <c r="B107">
        <v>73.599999999999994</v>
      </c>
    </row>
    <row r="108" spans="1:3">
      <c r="A108" s="4">
        <v>35400</v>
      </c>
      <c r="B108">
        <v>74.5</v>
      </c>
    </row>
    <row r="109" spans="1:3">
      <c r="A109" s="4">
        <v>35490</v>
      </c>
      <c r="B109">
        <v>74.8</v>
      </c>
      <c r="C109">
        <v>63.7</v>
      </c>
    </row>
    <row r="110" spans="1:3">
      <c r="A110" s="4">
        <v>35582</v>
      </c>
      <c r="B110">
        <v>74</v>
      </c>
      <c r="C110">
        <v>64.3</v>
      </c>
    </row>
    <row r="111" spans="1:3">
      <c r="A111" s="4">
        <v>35674</v>
      </c>
      <c r="B111">
        <v>74.2</v>
      </c>
      <c r="C111">
        <v>64.3</v>
      </c>
    </row>
    <row r="112" spans="1:3">
      <c r="A112" s="4">
        <v>35765</v>
      </c>
      <c r="B112">
        <v>73.900000000000006</v>
      </c>
      <c r="C112">
        <v>65</v>
      </c>
    </row>
    <row r="113" spans="1:3">
      <c r="A113" s="4">
        <v>35855</v>
      </c>
      <c r="B113">
        <v>73.599999999999994</v>
      </c>
      <c r="C113">
        <v>64.7</v>
      </c>
    </row>
    <row r="114" spans="1:3">
      <c r="A114" s="4">
        <v>35947</v>
      </c>
      <c r="B114">
        <v>73.5</v>
      </c>
      <c r="C114">
        <v>65.2</v>
      </c>
    </row>
    <row r="115" spans="1:3">
      <c r="A115" s="4">
        <v>36039</v>
      </c>
      <c r="B115">
        <v>73.2</v>
      </c>
      <c r="C115">
        <v>65.2</v>
      </c>
    </row>
    <row r="116" spans="1:3">
      <c r="A116" s="4">
        <v>36130</v>
      </c>
      <c r="B116">
        <v>73</v>
      </c>
      <c r="C116">
        <v>65.400000000000006</v>
      </c>
    </row>
    <row r="117" spans="1:3">
      <c r="A117" s="4">
        <v>36220</v>
      </c>
      <c r="B117">
        <v>72.5</v>
      </c>
      <c r="C117">
        <v>65.900000000000006</v>
      </c>
    </row>
    <row r="118" spans="1:3">
      <c r="A118" s="4">
        <v>36312</v>
      </c>
      <c r="B118">
        <v>73.5</v>
      </c>
      <c r="C118">
        <v>65.8</v>
      </c>
    </row>
    <row r="119" spans="1:3">
      <c r="A119" s="4">
        <v>36404</v>
      </c>
      <c r="B119">
        <v>75.599999999999994</v>
      </c>
      <c r="C119">
        <v>65.900000000000006</v>
      </c>
    </row>
    <row r="120" spans="1:3">
      <c r="A120" s="4">
        <v>36495</v>
      </c>
      <c r="B120">
        <v>75</v>
      </c>
      <c r="C120">
        <v>66</v>
      </c>
    </row>
    <row r="121" spans="1:3">
      <c r="A121" s="4">
        <v>36586</v>
      </c>
      <c r="B121">
        <v>77.400000000000006</v>
      </c>
      <c r="C121">
        <v>66.099999999999994</v>
      </c>
    </row>
    <row r="122" spans="1:3">
      <c r="A122" s="4">
        <v>36678</v>
      </c>
      <c r="B122">
        <v>78.900000000000006</v>
      </c>
      <c r="C122">
        <v>66.7</v>
      </c>
    </row>
    <row r="123" spans="1:3">
      <c r="A123" s="4">
        <v>36770</v>
      </c>
      <c r="B123">
        <v>80.400000000000006</v>
      </c>
      <c r="C123">
        <v>66.599999999999994</v>
      </c>
    </row>
    <row r="124" spans="1:3">
      <c r="A124" s="4">
        <v>36861</v>
      </c>
      <c r="B124">
        <v>81.2</v>
      </c>
      <c r="C124">
        <v>67.3</v>
      </c>
    </row>
    <row r="125" spans="1:3">
      <c r="A125" s="4">
        <v>36951</v>
      </c>
      <c r="B125">
        <v>81.5</v>
      </c>
      <c r="C125">
        <v>68</v>
      </c>
    </row>
    <row r="126" spans="1:3">
      <c r="A126" s="4">
        <v>37043</v>
      </c>
      <c r="B126">
        <v>83</v>
      </c>
      <c r="C126">
        <v>68.3</v>
      </c>
    </row>
    <row r="127" spans="1:3">
      <c r="A127" s="4">
        <v>37135</v>
      </c>
      <c r="B127">
        <v>81.7</v>
      </c>
      <c r="C127">
        <v>68.5</v>
      </c>
    </row>
    <row r="128" spans="1:3">
      <c r="A128" s="4">
        <v>37226</v>
      </c>
      <c r="B128">
        <v>80.7</v>
      </c>
      <c r="C128">
        <v>68.7</v>
      </c>
    </row>
    <row r="129" spans="1:3">
      <c r="A129" s="4">
        <v>37316</v>
      </c>
      <c r="B129">
        <v>81.099999999999994</v>
      </c>
      <c r="C129">
        <v>69</v>
      </c>
    </row>
    <row r="130" spans="1:3">
      <c r="A130" s="4">
        <v>37408</v>
      </c>
      <c r="B130">
        <v>82.4</v>
      </c>
      <c r="C130">
        <v>69</v>
      </c>
    </row>
    <row r="131" spans="1:3">
      <c r="A131" s="4">
        <v>37500</v>
      </c>
      <c r="B131">
        <v>82.3</v>
      </c>
      <c r="C131">
        <v>69.099999999999994</v>
      </c>
    </row>
    <row r="132" spans="1:3">
      <c r="A132" s="4">
        <v>37591</v>
      </c>
      <c r="B132">
        <v>83.2</v>
      </c>
      <c r="C132">
        <v>69.900000000000006</v>
      </c>
    </row>
    <row r="133" spans="1:3">
      <c r="A133" s="4">
        <v>37681</v>
      </c>
      <c r="B133">
        <v>85.4</v>
      </c>
      <c r="C133">
        <v>70.900000000000006</v>
      </c>
    </row>
    <row r="134" spans="1:3">
      <c r="A134" s="4">
        <v>37773</v>
      </c>
      <c r="B134">
        <v>82.8</v>
      </c>
      <c r="C134">
        <v>71.599999999999994</v>
      </c>
    </row>
    <row r="135" spans="1:3">
      <c r="A135" s="4">
        <v>37865</v>
      </c>
      <c r="B135">
        <v>83.7</v>
      </c>
      <c r="C135">
        <v>71.599999999999994</v>
      </c>
    </row>
    <row r="136" spans="1:3">
      <c r="A136" s="4">
        <v>37956</v>
      </c>
      <c r="B136">
        <v>83.8</v>
      </c>
      <c r="C136">
        <v>72</v>
      </c>
    </row>
    <row r="137" spans="1:3">
      <c r="A137" s="4">
        <v>38047</v>
      </c>
      <c r="B137">
        <v>83.7</v>
      </c>
      <c r="C137">
        <v>72.599999999999994</v>
      </c>
    </row>
    <row r="138" spans="1:3">
      <c r="A138" s="4">
        <v>38139</v>
      </c>
      <c r="B138">
        <v>85</v>
      </c>
      <c r="C138">
        <v>72.8</v>
      </c>
    </row>
    <row r="139" spans="1:3">
      <c r="A139" s="4">
        <v>38231</v>
      </c>
      <c r="B139">
        <v>86</v>
      </c>
      <c r="C139">
        <v>73.900000000000006</v>
      </c>
    </row>
    <row r="140" spans="1:3">
      <c r="A140" s="4">
        <v>38322</v>
      </c>
      <c r="B140">
        <v>87.3</v>
      </c>
      <c r="C140">
        <v>75.8</v>
      </c>
    </row>
    <row r="141" spans="1:3">
      <c r="A141" s="4">
        <v>38412</v>
      </c>
      <c r="B141">
        <v>86.2</v>
      </c>
      <c r="C141">
        <v>76.3</v>
      </c>
    </row>
    <row r="142" spans="1:3">
      <c r="A142" s="4">
        <v>38504</v>
      </c>
      <c r="B142">
        <v>88.3</v>
      </c>
      <c r="C142">
        <v>77.7</v>
      </c>
    </row>
    <row r="143" spans="1:3">
      <c r="A143" s="4">
        <v>38596</v>
      </c>
      <c r="B143">
        <v>90.8</v>
      </c>
      <c r="C143">
        <v>78.7</v>
      </c>
    </row>
    <row r="144" spans="1:3">
      <c r="A144" s="4">
        <v>38687</v>
      </c>
      <c r="B144">
        <v>90.1</v>
      </c>
      <c r="C144">
        <v>79.8</v>
      </c>
    </row>
    <row r="145" spans="1:3">
      <c r="A145" s="4">
        <v>38777</v>
      </c>
      <c r="B145">
        <v>91.3</v>
      </c>
      <c r="C145">
        <v>81.400000000000006</v>
      </c>
    </row>
    <row r="146" spans="1:3">
      <c r="A146" s="4">
        <v>38869</v>
      </c>
      <c r="B146">
        <v>94.6</v>
      </c>
      <c r="C146">
        <v>82.5</v>
      </c>
    </row>
    <row r="147" spans="1:3">
      <c r="A147" s="4">
        <v>38961</v>
      </c>
      <c r="B147">
        <v>94.7</v>
      </c>
      <c r="C147">
        <v>83.8</v>
      </c>
    </row>
    <row r="148" spans="1:3">
      <c r="A148" s="4">
        <v>39052</v>
      </c>
      <c r="B148">
        <v>90.9</v>
      </c>
      <c r="C148">
        <v>82.6</v>
      </c>
    </row>
    <row r="149" spans="1:3">
      <c r="A149" s="4">
        <v>39142</v>
      </c>
      <c r="B149">
        <v>91.5</v>
      </c>
      <c r="C149">
        <v>82.8</v>
      </c>
    </row>
    <row r="150" spans="1:3">
      <c r="A150" s="4">
        <v>39234</v>
      </c>
      <c r="B150">
        <v>94.2</v>
      </c>
      <c r="C150">
        <v>83.6</v>
      </c>
    </row>
    <row r="151" spans="1:3">
      <c r="A151" s="4">
        <v>39326</v>
      </c>
      <c r="B151">
        <v>93.2</v>
      </c>
      <c r="C151">
        <v>84.5</v>
      </c>
    </row>
    <row r="152" spans="1:3">
      <c r="A152" s="4">
        <v>39417</v>
      </c>
      <c r="B152">
        <v>95.6</v>
      </c>
      <c r="C152">
        <v>85.2</v>
      </c>
    </row>
    <row r="153" spans="1:3">
      <c r="A153" s="4">
        <v>39508</v>
      </c>
      <c r="B153">
        <v>97.7</v>
      </c>
      <c r="C153">
        <v>87.1</v>
      </c>
    </row>
    <row r="154" spans="1:3">
      <c r="A154" s="4">
        <v>39600</v>
      </c>
      <c r="B154">
        <v>100.4</v>
      </c>
      <c r="C154">
        <v>88.9</v>
      </c>
    </row>
    <row r="155" spans="1:3">
      <c r="A155" s="4">
        <v>39692</v>
      </c>
      <c r="B155">
        <v>101</v>
      </c>
      <c r="C155">
        <v>93.2</v>
      </c>
    </row>
    <row r="156" spans="1:3">
      <c r="A156" s="4">
        <v>39783</v>
      </c>
      <c r="B156">
        <v>93.6</v>
      </c>
      <c r="C156">
        <v>94.4</v>
      </c>
    </row>
    <row r="157" spans="1:3">
      <c r="A157" s="4">
        <v>39873</v>
      </c>
      <c r="B157">
        <v>92.5</v>
      </c>
      <c r="C157">
        <v>91.8</v>
      </c>
    </row>
    <row r="158" spans="1:3">
      <c r="A158" s="4">
        <v>39965</v>
      </c>
      <c r="B158">
        <v>93.7</v>
      </c>
      <c r="C158">
        <v>90.6</v>
      </c>
    </row>
    <row r="159" spans="1:3">
      <c r="A159" s="4">
        <v>40057</v>
      </c>
      <c r="B159">
        <v>94.8</v>
      </c>
      <c r="C159">
        <v>91.3</v>
      </c>
    </row>
    <row r="160" spans="1:3">
      <c r="A160" s="4">
        <v>40148</v>
      </c>
      <c r="B160">
        <v>94.2</v>
      </c>
      <c r="C160">
        <v>91.8</v>
      </c>
    </row>
    <row r="161" spans="1:3">
      <c r="A161" s="4">
        <v>40238</v>
      </c>
      <c r="B161">
        <v>95.3</v>
      </c>
      <c r="C161">
        <v>91.9</v>
      </c>
    </row>
    <row r="162" spans="1:3">
      <c r="A162" s="4">
        <v>40330</v>
      </c>
      <c r="B162">
        <v>95.6</v>
      </c>
      <c r="C162">
        <v>93</v>
      </c>
    </row>
    <row r="163" spans="1:3">
      <c r="A163" s="4">
        <v>40422</v>
      </c>
      <c r="B163">
        <v>95.3</v>
      </c>
      <c r="C163">
        <v>94.3</v>
      </c>
    </row>
    <row r="164" spans="1:3">
      <c r="A164" s="4">
        <v>40513</v>
      </c>
      <c r="B164">
        <v>95.3</v>
      </c>
      <c r="C164">
        <v>94.6</v>
      </c>
    </row>
    <row r="165" spans="1:3">
      <c r="A165" s="4">
        <v>40603</v>
      </c>
      <c r="B165">
        <v>98.3</v>
      </c>
      <c r="C165">
        <v>95.9</v>
      </c>
    </row>
    <row r="166" spans="1:3">
      <c r="A166" s="4">
        <v>40695</v>
      </c>
      <c r="B166">
        <v>99.3</v>
      </c>
      <c r="C166">
        <v>98.6</v>
      </c>
    </row>
    <row r="167" spans="1:3">
      <c r="A167" s="4">
        <v>40787</v>
      </c>
      <c r="B167">
        <v>99.6</v>
      </c>
      <c r="C167">
        <v>98.6</v>
      </c>
    </row>
    <row r="168" spans="1:3">
      <c r="A168" s="4">
        <v>40878</v>
      </c>
      <c r="B168">
        <v>99.1</v>
      </c>
      <c r="C168">
        <v>99.8</v>
      </c>
    </row>
    <row r="169" spans="1:3">
      <c r="A169" s="4">
        <v>40969</v>
      </c>
      <c r="B169">
        <v>100.5</v>
      </c>
      <c r="C169">
        <v>100.8</v>
      </c>
    </row>
    <row r="170" spans="1:3">
      <c r="A170" s="4">
        <v>41061</v>
      </c>
      <c r="B170">
        <v>100.8</v>
      </c>
      <c r="C170">
        <v>100.9</v>
      </c>
    </row>
    <row r="171" spans="1:3">
      <c r="A171" s="4">
        <v>41153</v>
      </c>
      <c r="B171">
        <v>100.4</v>
      </c>
      <c r="C171">
        <v>103.4</v>
      </c>
    </row>
    <row r="172" spans="1:3">
      <c r="A172" s="4">
        <v>41244</v>
      </c>
      <c r="B172">
        <v>100.4</v>
      </c>
      <c r="C172">
        <v>104.8</v>
      </c>
    </row>
    <row r="173" spans="1:3">
      <c r="A173" s="4">
        <v>41334</v>
      </c>
      <c r="B173">
        <v>100.9</v>
      </c>
      <c r="C173">
        <v>103.7</v>
      </c>
    </row>
    <row r="174" spans="1:3">
      <c r="A174" s="4">
        <v>41426</v>
      </c>
      <c r="B174">
        <v>100.7</v>
      </c>
      <c r="C174">
        <v>105</v>
      </c>
    </row>
    <row r="175" spans="1:3">
      <c r="A175" s="4">
        <v>41518</v>
      </c>
      <c r="B175">
        <v>102.6</v>
      </c>
      <c r="C175">
        <v>104.6</v>
      </c>
    </row>
    <row r="176" spans="1:3">
      <c r="A176" s="4">
        <v>41609</v>
      </c>
      <c r="B176">
        <v>102.2</v>
      </c>
      <c r="C176">
        <v>105.5</v>
      </c>
    </row>
    <row r="177" spans="1:3">
      <c r="A177" s="4">
        <v>41699</v>
      </c>
      <c r="B177">
        <v>102.6</v>
      </c>
      <c r="C177">
        <v>107.5</v>
      </c>
    </row>
    <row r="178" spans="1:3">
      <c r="A178" s="4">
        <v>41791</v>
      </c>
      <c r="B178">
        <v>101.9</v>
      </c>
      <c r="C178">
        <v>107.5</v>
      </c>
    </row>
    <row r="179" spans="1:3">
      <c r="A179" s="4">
        <v>41883</v>
      </c>
      <c r="B179">
        <v>100.8</v>
      </c>
      <c r="C179">
        <v>108</v>
      </c>
    </row>
    <row r="180" spans="1:3">
      <c r="A180" s="4">
        <v>41974</v>
      </c>
      <c r="B180">
        <v>98.7</v>
      </c>
      <c r="C180">
        <v>107.9</v>
      </c>
    </row>
    <row r="181" spans="1:3">
      <c r="A181" s="4">
        <v>42064</v>
      </c>
      <c r="B181">
        <v>95.4</v>
      </c>
      <c r="C181">
        <v>106.5</v>
      </c>
    </row>
    <row r="182" spans="1:3">
      <c r="A182" s="4">
        <v>42156</v>
      </c>
      <c r="B182">
        <v>99.7</v>
      </c>
      <c r="C182">
        <v>106.4</v>
      </c>
    </row>
    <row r="183" spans="1:3">
      <c r="A183" s="4">
        <v>42248</v>
      </c>
      <c r="B183">
        <v>100</v>
      </c>
      <c r="C183">
        <v>105.1</v>
      </c>
    </row>
    <row r="184" spans="1:3">
      <c r="A184" s="4">
        <v>42339</v>
      </c>
      <c r="B184">
        <v>98.5</v>
      </c>
      <c r="C184">
        <v>105.4</v>
      </c>
    </row>
    <row r="185" spans="1:3">
      <c r="A185" s="4">
        <v>42430</v>
      </c>
      <c r="B185">
        <v>94.5</v>
      </c>
      <c r="C185">
        <v>105.4</v>
      </c>
    </row>
    <row r="186" spans="1:3">
      <c r="A186" s="4">
        <v>42522</v>
      </c>
      <c r="B186">
        <v>95.9</v>
      </c>
      <c r="C186">
        <v>105.9</v>
      </c>
    </row>
    <row r="187" spans="1:3">
      <c r="A187" s="4">
        <v>42614</v>
      </c>
      <c r="B187">
        <v>95.7</v>
      </c>
      <c r="C187">
        <v>106</v>
      </c>
    </row>
    <row r="188" spans="1:3">
      <c r="A188" s="4">
        <v>42705</v>
      </c>
      <c r="B188">
        <v>97</v>
      </c>
      <c r="C188">
        <v>106.5</v>
      </c>
    </row>
    <row r="189" spans="1:3">
      <c r="A189" s="4">
        <v>42795</v>
      </c>
      <c r="B189">
        <v>98.3</v>
      </c>
      <c r="C189">
        <v>106.7</v>
      </c>
    </row>
    <row r="190" spans="1:3">
      <c r="A190" s="4">
        <v>42887</v>
      </c>
      <c r="B190">
        <v>97.9</v>
      </c>
      <c r="C190">
        <v>106.9</v>
      </c>
    </row>
    <row r="191" spans="1:3">
      <c r="A191" s="4">
        <v>42979</v>
      </c>
      <c r="B191">
        <v>97.3</v>
      </c>
      <c r="C191">
        <v>107.5</v>
      </c>
    </row>
    <row r="192" spans="1:3">
      <c r="A192" s="4">
        <v>43070</v>
      </c>
      <c r="B192">
        <v>99.9</v>
      </c>
      <c r="C192">
        <v>107.9</v>
      </c>
    </row>
    <row r="193" spans="1:3">
      <c r="A193" s="4">
        <v>43160</v>
      </c>
      <c r="B193">
        <v>100.6</v>
      </c>
      <c r="C193">
        <v>109.2</v>
      </c>
    </row>
    <row r="194" spans="1:3">
      <c r="A194" s="4">
        <v>43252</v>
      </c>
      <c r="B194">
        <v>102.2</v>
      </c>
      <c r="C194">
        <v>109.8</v>
      </c>
    </row>
    <row r="195" spans="1:3">
      <c r="A195" s="4">
        <v>43344</v>
      </c>
      <c r="B195">
        <v>102.9</v>
      </c>
      <c r="C195">
        <v>111</v>
      </c>
    </row>
    <row r="196" spans="1:3">
      <c r="A196" s="4">
        <v>43435</v>
      </c>
      <c r="B196">
        <v>101.9</v>
      </c>
      <c r="C196">
        <v>111.7</v>
      </c>
    </row>
    <row r="197" spans="1:3">
      <c r="A197" s="4">
        <v>43525</v>
      </c>
      <c r="B197">
        <v>100.3</v>
      </c>
      <c r="C197">
        <v>111.5</v>
      </c>
    </row>
    <row r="198" spans="1:3">
      <c r="A198" s="4">
        <v>43617</v>
      </c>
      <c r="B198">
        <v>104.2</v>
      </c>
      <c r="C198">
        <v>112.2</v>
      </c>
    </row>
  </sheetData>
  <customSheetViews>
    <customSheetView guid="{5C6A6B42-DFAF-4739-B7D4-CA7A880613DB}" state="hidden" topLeftCell="A163">
      <selection activeCell="G197" sqref="G197"/>
      <pageMargins left="0.7" right="0.7" top="0.75" bottom="0.75" header="0.3" footer="0.3"/>
    </customSheetView>
  </customSheetView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AQ344"/>
  <sheetViews>
    <sheetView showGridLines="0" zoomScaleNormal="100" workbookViewId="0">
      <selection activeCell="M5" sqref="M5"/>
    </sheetView>
  </sheetViews>
  <sheetFormatPr defaultColWidth="9.21875" defaultRowHeight="13.8" zeroHeight="1"/>
  <cols>
    <col min="1" max="1" width="9.21875" style="93"/>
    <col min="2" max="2" width="4.44140625" style="94" customWidth="1"/>
    <col min="3" max="3" width="4.44140625" style="16" customWidth="1"/>
    <col min="4" max="4" width="2.44140625" style="16" customWidth="1"/>
    <col min="5" max="5" width="12.44140625" style="16" customWidth="1"/>
    <col min="6" max="7" width="9.44140625" style="16" bestFit="1" customWidth="1"/>
    <col min="8" max="8" width="27.77734375" style="16" customWidth="1"/>
    <col min="9" max="9" width="11.44140625" style="16" customWidth="1"/>
    <col min="10" max="10" width="8.5546875" style="16" customWidth="1"/>
    <col min="11" max="11" width="9.44140625" style="16" bestFit="1" customWidth="1"/>
    <col min="12" max="12" width="12.5546875" style="16" bestFit="1" customWidth="1"/>
    <col min="13" max="13" width="9.44140625" style="16" bestFit="1" customWidth="1"/>
    <col min="14" max="14" width="11" style="16" bestFit="1" customWidth="1"/>
    <col min="15" max="15" width="9.5546875" style="16" bestFit="1" customWidth="1"/>
    <col min="16" max="16" width="9.21875" style="16" customWidth="1"/>
    <col min="17" max="16384" width="9.21875" style="16"/>
  </cols>
  <sheetData>
    <row r="1" spans="4:16"/>
    <row r="2" spans="4:16" ht="45">
      <c r="D2" s="46"/>
      <c r="E2" s="78" t="s">
        <v>97</v>
      </c>
      <c r="F2" s="79"/>
      <c r="G2" s="79"/>
      <c r="H2" s="79"/>
      <c r="I2" s="79"/>
      <c r="J2" s="79"/>
      <c r="K2" s="79"/>
      <c r="L2" s="79"/>
      <c r="M2" s="79"/>
      <c r="N2" s="79"/>
      <c r="O2" s="79"/>
      <c r="P2" s="80"/>
    </row>
    <row r="3" spans="4:16">
      <c r="D3" s="47"/>
      <c r="E3" s="48"/>
      <c r="F3" s="48"/>
      <c r="G3" s="48"/>
      <c r="H3" s="48"/>
      <c r="I3" s="48"/>
      <c r="J3" s="48"/>
      <c r="K3" s="48"/>
      <c r="L3" s="48"/>
      <c r="M3" s="48"/>
      <c r="N3" s="48"/>
      <c r="O3" s="48"/>
      <c r="P3" s="49"/>
    </row>
    <row r="4" spans="4:16">
      <c r="D4" s="47"/>
      <c r="E4" s="22" t="s">
        <v>21</v>
      </c>
      <c r="F4" s="22" t="s">
        <v>22</v>
      </c>
      <c r="G4" s="22"/>
      <c r="H4" s="22" t="s">
        <v>13</v>
      </c>
      <c r="I4" s="22" t="s">
        <v>27</v>
      </c>
      <c r="J4" s="22" t="s">
        <v>28</v>
      </c>
      <c r="K4" s="22" t="s">
        <v>29</v>
      </c>
      <c r="L4" s="22" t="s">
        <v>30</v>
      </c>
      <c r="M4" s="22" t="s">
        <v>31</v>
      </c>
      <c r="N4" s="22" t="s">
        <v>32</v>
      </c>
      <c r="O4" s="22" t="s">
        <v>33</v>
      </c>
      <c r="P4" s="49"/>
    </row>
    <row r="5" spans="4:16">
      <c r="D5" s="47"/>
      <c r="E5" s="39">
        <v>0</v>
      </c>
      <c r="F5" s="39">
        <v>20</v>
      </c>
      <c r="G5" s="39">
        <v>1</v>
      </c>
      <c r="H5" s="39" t="s">
        <v>0</v>
      </c>
      <c r="I5" s="39">
        <v>21.655529999999999</v>
      </c>
      <c r="J5" s="39">
        <v>0.68256799999999995</v>
      </c>
      <c r="K5" s="39">
        <v>8.9266260000000006</v>
      </c>
      <c r="L5" s="39">
        <v>1.8600000000000001E-5</v>
      </c>
      <c r="M5" s="39">
        <v>2.9245E-2</v>
      </c>
      <c r="N5" s="39">
        <v>8.12E-4</v>
      </c>
      <c r="O5" s="39">
        <v>4.0681000000000002E-2</v>
      </c>
      <c r="P5" s="49"/>
    </row>
    <row r="6" spans="4:16">
      <c r="D6" s="47"/>
      <c r="E6" s="39">
        <v>0</v>
      </c>
      <c r="F6" s="39">
        <v>20</v>
      </c>
      <c r="G6" s="39">
        <v>2</v>
      </c>
      <c r="H6" s="39" t="s">
        <v>1</v>
      </c>
      <c r="I6" s="39">
        <v>28.586790000000001</v>
      </c>
      <c r="J6" s="39">
        <v>0.68912899999999999</v>
      </c>
      <c r="K6" s="39">
        <v>10.27355</v>
      </c>
      <c r="L6" s="39">
        <v>1.43E-5</v>
      </c>
      <c r="M6" s="39">
        <v>2.7139E-2</v>
      </c>
      <c r="N6" s="39">
        <v>9.4499999999999998E-4</v>
      </c>
      <c r="O6" s="39">
        <v>3.0450999999999999E-2</v>
      </c>
      <c r="P6" s="49"/>
    </row>
    <row r="7" spans="4:16">
      <c r="D7" s="47"/>
      <c r="E7" s="39">
        <v>0</v>
      </c>
      <c r="F7" s="39">
        <v>20</v>
      </c>
      <c r="G7" s="39">
        <v>3</v>
      </c>
      <c r="H7" s="39" t="s">
        <v>2</v>
      </c>
      <c r="I7" s="39">
        <v>37.23451</v>
      </c>
      <c r="J7" s="39">
        <v>0.71454200000000001</v>
      </c>
      <c r="K7" s="39">
        <v>10.81935</v>
      </c>
      <c r="L7" s="39">
        <v>1.0900000000000001E-5</v>
      </c>
      <c r="M7" s="39">
        <v>2.3979E-2</v>
      </c>
      <c r="N7" s="39">
        <v>1.031E-3</v>
      </c>
      <c r="O7" s="39">
        <v>2.0684000000000001E-2</v>
      </c>
      <c r="P7" s="49"/>
    </row>
    <row r="8" spans="4:16">
      <c r="D8" s="47"/>
      <c r="E8" s="39">
        <v>0</v>
      </c>
      <c r="F8" s="39">
        <v>20</v>
      </c>
      <c r="G8" s="39">
        <v>4</v>
      </c>
      <c r="H8" s="39" t="s">
        <v>3</v>
      </c>
      <c r="I8" s="39">
        <v>32.14678</v>
      </c>
      <c r="J8" s="39">
        <v>0.67199200000000003</v>
      </c>
      <c r="K8" s="39">
        <v>8.0856639999999995</v>
      </c>
      <c r="L8" s="39">
        <v>1.5299999999999999E-5</v>
      </c>
      <c r="M8" s="39">
        <v>3.9595999999999999E-2</v>
      </c>
      <c r="N8" s="39">
        <v>2.4919999999999999E-3</v>
      </c>
      <c r="O8" s="39">
        <v>2.3847E-2</v>
      </c>
      <c r="P8" s="49"/>
    </row>
    <row r="9" spans="4:16">
      <c r="D9" s="47"/>
      <c r="E9" s="39">
        <v>0</v>
      </c>
      <c r="F9" s="39">
        <v>20</v>
      </c>
      <c r="G9" s="39">
        <v>5</v>
      </c>
      <c r="H9" s="39" t="s">
        <v>4</v>
      </c>
      <c r="I9" s="39">
        <v>35.492579999999997</v>
      </c>
      <c r="J9" s="39">
        <v>0.70408899999999996</v>
      </c>
      <c r="K9" s="39">
        <v>7.1600700000000002</v>
      </c>
      <c r="L9" s="39">
        <v>1.45E-5</v>
      </c>
      <c r="M9" s="39">
        <v>3.4578999999999999E-2</v>
      </c>
      <c r="N9" s="39">
        <v>2.0999999999999999E-3</v>
      </c>
      <c r="O9" s="39">
        <v>1.6299999999999999E-2</v>
      </c>
      <c r="P9" s="49"/>
    </row>
    <row r="10" spans="4:16">
      <c r="D10" s="47"/>
      <c r="E10" s="39">
        <v>0</v>
      </c>
      <c r="F10" s="39">
        <v>20</v>
      </c>
      <c r="G10" s="39">
        <v>6</v>
      </c>
      <c r="H10" s="39" t="s">
        <v>5</v>
      </c>
      <c r="I10" s="39">
        <v>44.708509999999997</v>
      </c>
      <c r="J10" s="39">
        <v>0.69040900000000005</v>
      </c>
      <c r="K10" s="39">
        <v>5.5711149999999998</v>
      </c>
      <c r="L10" s="39">
        <v>2.3799999999999999E-5</v>
      </c>
      <c r="M10" s="39">
        <v>4.2391999999999999E-2</v>
      </c>
      <c r="N10" s="39">
        <v>1.879E-3</v>
      </c>
      <c r="O10" s="39">
        <v>1.3114000000000001E-2</v>
      </c>
      <c r="P10" s="49"/>
    </row>
    <row r="11" spans="4:16">
      <c r="D11" s="47"/>
      <c r="E11" s="39">
        <v>0</v>
      </c>
      <c r="F11" s="39">
        <v>20</v>
      </c>
      <c r="G11" s="39">
        <v>7</v>
      </c>
      <c r="H11" s="39" t="s">
        <v>6</v>
      </c>
      <c r="I11" s="39">
        <v>51.70626</v>
      </c>
      <c r="J11" s="39">
        <v>0.64653000000000005</v>
      </c>
      <c r="K11" s="39">
        <v>8.3101330000000004</v>
      </c>
      <c r="L11" s="39">
        <v>2.0800000000000001E-5</v>
      </c>
      <c r="M11" s="39">
        <v>3.7527999999999999E-2</v>
      </c>
      <c r="N11" s="39">
        <v>1.7619999999999999E-3</v>
      </c>
      <c r="O11" s="39">
        <v>1.0923E-2</v>
      </c>
      <c r="P11" s="49"/>
    </row>
    <row r="12" spans="4:16">
      <c r="D12" s="47"/>
      <c r="E12" s="39">
        <v>0</v>
      </c>
      <c r="F12" s="39">
        <v>20</v>
      </c>
      <c r="G12" s="39">
        <v>8</v>
      </c>
      <c r="H12" s="39" t="s">
        <v>7</v>
      </c>
      <c r="I12" s="39">
        <v>64.344629999999995</v>
      </c>
      <c r="J12" s="39">
        <v>0.45218000000000003</v>
      </c>
      <c r="K12" s="39">
        <v>10.40255</v>
      </c>
      <c r="L12" s="39">
        <v>3.4199999999999998E-5</v>
      </c>
      <c r="M12" s="39">
        <v>8.2006999999999997E-2</v>
      </c>
      <c r="N12" s="39">
        <v>2.32E-4</v>
      </c>
      <c r="O12" s="39">
        <v>6.5849999999999997E-3</v>
      </c>
      <c r="P12" s="49"/>
    </row>
    <row r="13" spans="4:16">
      <c r="D13" s="47"/>
      <c r="E13" s="39">
        <v>0</v>
      </c>
      <c r="F13" s="39">
        <v>20</v>
      </c>
      <c r="G13" s="39">
        <v>9</v>
      </c>
      <c r="H13" s="39" t="s">
        <v>8</v>
      </c>
      <c r="I13" s="39">
        <v>100.1854</v>
      </c>
      <c r="J13" s="39">
        <v>0.599271</v>
      </c>
      <c r="K13" s="39">
        <v>9.0398049999999994</v>
      </c>
      <c r="L13" s="39">
        <v>1.1399999999999999E-5</v>
      </c>
      <c r="M13" s="39">
        <v>6.6026000000000001E-2</v>
      </c>
      <c r="N13" s="39">
        <v>1.052E-3</v>
      </c>
      <c r="O13" s="39">
        <v>4.4380000000000001E-3</v>
      </c>
      <c r="P13" s="49"/>
    </row>
    <row r="14" spans="4:16">
      <c r="D14" s="47"/>
      <c r="E14" s="39">
        <v>0</v>
      </c>
      <c r="F14" s="39">
        <v>20</v>
      </c>
      <c r="G14" s="39">
        <v>10</v>
      </c>
      <c r="H14" s="39" t="s">
        <v>9</v>
      </c>
      <c r="I14" s="39">
        <v>86.462869999999995</v>
      </c>
      <c r="J14" s="39">
        <v>0.44365599999999999</v>
      </c>
      <c r="K14" s="39">
        <v>9.1690670000000001</v>
      </c>
      <c r="L14" s="39">
        <v>3.5099999999999999E-5</v>
      </c>
      <c r="M14" s="39">
        <v>8.7456000000000006E-2</v>
      </c>
      <c r="N14" s="39">
        <v>2.5700000000000001E-4</v>
      </c>
      <c r="O14" s="39">
        <v>6.4510000000000001E-3</v>
      </c>
      <c r="P14" s="49"/>
    </row>
    <row r="15" spans="4:16">
      <c r="D15" s="47"/>
      <c r="E15" s="39">
        <v>0</v>
      </c>
      <c r="F15" s="39">
        <v>20</v>
      </c>
      <c r="G15" s="39">
        <v>11</v>
      </c>
      <c r="H15" s="39" t="s">
        <v>10</v>
      </c>
      <c r="I15" s="39">
        <v>95.652379999999994</v>
      </c>
      <c r="J15" s="39">
        <v>0.48677999999999999</v>
      </c>
      <c r="K15" s="39">
        <v>8.8512079999999997</v>
      </c>
      <c r="L15" s="39">
        <v>3.0300000000000001E-5</v>
      </c>
      <c r="M15" s="39">
        <v>8.3933999999999995E-2</v>
      </c>
      <c r="N15" s="39">
        <v>4.0400000000000001E-4</v>
      </c>
      <c r="O15" s="39">
        <v>4.411E-3</v>
      </c>
      <c r="P15" s="49"/>
    </row>
    <row r="16" spans="4:16">
      <c r="D16" s="47"/>
      <c r="E16" s="39">
        <v>0</v>
      </c>
      <c r="F16" s="39">
        <v>20</v>
      </c>
      <c r="G16" s="39">
        <v>12</v>
      </c>
      <c r="H16" s="39" t="s">
        <v>11</v>
      </c>
      <c r="I16" s="39">
        <v>103.6022</v>
      </c>
      <c r="J16" s="39">
        <v>0.49192200000000003</v>
      </c>
      <c r="K16" s="39">
        <v>8.5864209999999996</v>
      </c>
      <c r="L16" s="39">
        <v>2.8E-5</v>
      </c>
      <c r="M16" s="39">
        <v>8.5236999999999993E-2</v>
      </c>
      <c r="N16" s="39">
        <v>3.6699999999999998E-4</v>
      </c>
      <c r="O16" s="39">
        <v>4.0819999999999997E-3</v>
      </c>
      <c r="P16" s="49"/>
    </row>
    <row r="17" spans="4:16">
      <c r="D17" s="47"/>
      <c r="E17" s="39">
        <v>0</v>
      </c>
      <c r="F17" s="39">
        <v>20</v>
      </c>
      <c r="G17" s="39">
        <v>13</v>
      </c>
      <c r="H17" s="39" t="s">
        <v>12</v>
      </c>
      <c r="I17" s="39">
        <v>109.6991</v>
      </c>
      <c r="J17" s="39">
        <v>0.50733300000000003</v>
      </c>
      <c r="K17" s="39">
        <v>7.4032309999999999</v>
      </c>
      <c r="L17" s="39">
        <v>2.7500000000000001E-5</v>
      </c>
      <c r="M17" s="39">
        <v>8.1194000000000002E-2</v>
      </c>
      <c r="N17" s="39">
        <v>1.07E-4</v>
      </c>
      <c r="O17" s="39">
        <v>3.9430000000000003E-3</v>
      </c>
      <c r="P17" s="49"/>
    </row>
    <row r="18" spans="4:16">
      <c r="D18" s="47"/>
      <c r="E18" s="39">
        <v>0</v>
      </c>
      <c r="F18" s="39">
        <v>20</v>
      </c>
      <c r="G18" s="39">
        <v>14</v>
      </c>
      <c r="H18" s="39" t="s">
        <v>14</v>
      </c>
      <c r="I18" s="39">
        <v>121.4093</v>
      </c>
      <c r="J18" s="39">
        <v>0.483655</v>
      </c>
      <c r="K18" s="39">
        <v>7.8763439999999996</v>
      </c>
      <c r="L18" s="39">
        <v>2.41E-5</v>
      </c>
      <c r="M18" s="39">
        <v>9.1051000000000007E-2</v>
      </c>
      <c r="N18" s="39">
        <v>1.4799999999999999E-4</v>
      </c>
      <c r="O18" s="39">
        <v>3.5669999999999999E-3</v>
      </c>
      <c r="P18" s="49"/>
    </row>
    <row r="19" spans="4:16">
      <c r="D19" s="47"/>
      <c r="E19" s="39">
        <v>0</v>
      </c>
      <c r="F19" s="39">
        <v>20</v>
      </c>
      <c r="G19" s="39">
        <v>15</v>
      </c>
      <c r="H19" s="39" t="s">
        <v>15</v>
      </c>
      <c r="I19" s="39">
        <v>120.4225</v>
      </c>
      <c r="J19" s="39">
        <v>0.50105699999999997</v>
      </c>
      <c r="K19" s="39">
        <v>7.6068129999999998</v>
      </c>
      <c r="L19" s="39">
        <v>2.4499999999999999E-5</v>
      </c>
      <c r="M19" s="39">
        <v>8.5776000000000005E-2</v>
      </c>
      <c r="N19" s="39">
        <v>1.9100000000000001E-4</v>
      </c>
      <c r="O19" s="39">
        <v>3.5929999999999998E-3</v>
      </c>
      <c r="P19" s="49"/>
    </row>
    <row r="20" spans="4:16">
      <c r="D20" s="47"/>
      <c r="E20" s="39">
        <v>0</v>
      </c>
      <c r="F20" s="39">
        <v>20</v>
      </c>
      <c r="G20" s="39">
        <v>16</v>
      </c>
      <c r="H20" s="39" t="s">
        <v>16</v>
      </c>
      <c r="I20" s="39">
        <v>146.9991</v>
      </c>
      <c r="J20" s="39">
        <v>0.47755900000000001</v>
      </c>
      <c r="K20" s="39">
        <v>7.5401800000000003</v>
      </c>
      <c r="L20" s="39">
        <v>1.95E-5</v>
      </c>
      <c r="M20" s="39">
        <v>9.6146999999999996E-2</v>
      </c>
      <c r="N20" s="39">
        <v>8.8599999999999999E-5</v>
      </c>
      <c r="O20" s="39">
        <v>2.9889999999999999E-3</v>
      </c>
      <c r="P20" s="49"/>
    </row>
    <row r="21" spans="4:16">
      <c r="D21" s="47"/>
      <c r="E21" s="39">
        <v>0</v>
      </c>
      <c r="F21" s="39">
        <v>20</v>
      </c>
      <c r="G21" s="39">
        <v>17</v>
      </c>
      <c r="H21" s="39" t="s">
        <v>17</v>
      </c>
      <c r="I21" s="39">
        <v>170.36340000000001</v>
      </c>
      <c r="J21" s="39">
        <v>0.48833399999999999</v>
      </c>
      <c r="K21" s="39">
        <v>7.8643020000000003</v>
      </c>
      <c r="L21" s="39">
        <v>1.5800000000000001E-5</v>
      </c>
      <c r="M21" s="39">
        <v>9.7835000000000005E-2</v>
      </c>
      <c r="N21" s="39">
        <v>3.3199999999999999E-4</v>
      </c>
      <c r="O21" s="39">
        <v>2.5799999999999998E-3</v>
      </c>
      <c r="P21" s="49"/>
    </row>
    <row r="22" spans="4:16">
      <c r="D22" s="47"/>
      <c r="E22" s="39">
        <v>0</v>
      </c>
      <c r="F22" s="39">
        <v>20</v>
      </c>
      <c r="G22" s="39">
        <v>18</v>
      </c>
      <c r="H22" s="39" t="s">
        <v>18</v>
      </c>
      <c r="I22" s="39">
        <v>166.3673</v>
      </c>
      <c r="J22" s="39">
        <v>0.47580499999999998</v>
      </c>
      <c r="K22" s="39">
        <v>7.0060390000000003</v>
      </c>
      <c r="L22" s="39">
        <v>1.7499999999999998E-5</v>
      </c>
      <c r="M22" s="39">
        <v>9.8110000000000003E-2</v>
      </c>
      <c r="N22" s="39">
        <v>-5.1999999999999997E-5</v>
      </c>
      <c r="O22" s="39">
        <v>2.6710000000000002E-3</v>
      </c>
      <c r="P22" s="49"/>
    </row>
    <row r="23" spans="4:16">
      <c r="D23" s="47"/>
      <c r="E23" s="39">
        <v>0</v>
      </c>
      <c r="F23" s="39">
        <v>20</v>
      </c>
      <c r="G23" s="39">
        <v>19</v>
      </c>
      <c r="H23" s="39" t="s">
        <v>19</v>
      </c>
      <c r="I23" s="39">
        <v>186.86519999999999</v>
      </c>
      <c r="J23" s="39">
        <v>0.48013600000000001</v>
      </c>
      <c r="K23" s="39">
        <v>6.8842879999999997</v>
      </c>
      <c r="L23" s="39">
        <v>1.56E-5</v>
      </c>
      <c r="M23" s="39">
        <v>9.9252999999999994E-2</v>
      </c>
      <c r="N23" s="39">
        <v>-2.0000000000000002E-5</v>
      </c>
      <c r="O23" s="39">
        <v>2.3930000000000002E-3</v>
      </c>
      <c r="P23" s="49"/>
    </row>
    <row r="24" spans="4:16">
      <c r="D24" s="47"/>
      <c r="E24" s="39">
        <v>0</v>
      </c>
      <c r="F24" s="39">
        <v>20</v>
      </c>
      <c r="G24" s="39">
        <v>20</v>
      </c>
      <c r="H24" s="39" t="s">
        <v>61</v>
      </c>
      <c r="I24" s="39">
        <v>189.70760000000001</v>
      </c>
      <c r="J24" s="39">
        <v>0.479935</v>
      </c>
      <c r="K24" s="39">
        <v>6.5790420000000003</v>
      </c>
      <c r="L24" s="39">
        <v>1.5699999999999999E-5</v>
      </c>
      <c r="M24" s="39">
        <v>9.8984000000000003E-2</v>
      </c>
      <c r="N24" s="39">
        <v>-1.2999999999999999E-4</v>
      </c>
      <c r="O24" s="39">
        <v>2.3609999999999998E-3</v>
      </c>
      <c r="P24" s="49"/>
    </row>
    <row r="25" spans="4:16">
      <c r="D25" s="47"/>
      <c r="E25" s="50"/>
      <c r="F25" s="50"/>
      <c r="G25" s="50"/>
      <c r="H25" s="50"/>
      <c r="I25" s="50"/>
      <c r="J25" s="50"/>
      <c r="K25" s="50"/>
      <c r="L25" s="50"/>
      <c r="M25" s="50"/>
      <c r="N25" s="50"/>
      <c r="O25" s="50"/>
      <c r="P25" s="49"/>
    </row>
    <row r="26" spans="4:16">
      <c r="D26" s="47"/>
      <c r="E26" s="22" t="s">
        <v>21</v>
      </c>
      <c r="F26" s="22" t="s">
        <v>22</v>
      </c>
      <c r="G26" s="22"/>
      <c r="H26" s="22" t="s">
        <v>13</v>
      </c>
      <c r="I26" s="22" t="s">
        <v>27</v>
      </c>
      <c r="J26" s="22" t="s">
        <v>28</v>
      </c>
      <c r="K26" s="22" t="s">
        <v>29</v>
      </c>
      <c r="L26" s="22" t="s">
        <v>30</v>
      </c>
      <c r="M26" s="22" t="s">
        <v>31</v>
      </c>
      <c r="N26" s="22" t="s">
        <v>32</v>
      </c>
      <c r="O26" s="22" t="s">
        <v>33</v>
      </c>
      <c r="P26" s="49"/>
    </row>
    <row r="27" spans="4:16">
      <c r="D27" s="47"/>
      <c r="E27" s="39">
        <v>0</v>
      </c>
      <c r="F27" s="39">
        <v>120</v>
      </c>
      <c r="G27" s="39">
        <v>1</v>
      </c>
      <c r="H27" s="39" t="s">
        <v>0</v>
      </c>
      <c r="I27" s="39">
        <v>21.662459999999999</v>
      </c>
      <c r="J27" s="39">
        <v>0.68450200000000005</v>
      </c>
      <c r="K27" s="39">
        <v>8.7684149999999992</v>
      </c>
      <c r="L27" s="39">
        <v>1.8E-5</v>
      </c>
      <c r="M27" s="39">
        <v>2.98E-2</v>
      </c>
      <c r="N27" s="39">
        <v>7.5900000000000002E-4</v>
      </c>
      <c r="O27" s="39">
        <v>4.3477000000000002E-2</v>
      </c>
      <c r="P27" s="49"/>
    </row>
    <row r="28" spans="4:16">
      <c r="D28" s="47"/>
      <c r="E28" s="39">
        <v>0</v>
      </c>
      <c r="F28" s="39">
        <v>120</v>
      </c>
      <c r="G28" s="39">
        <v>2</v>
      </c>
      <c r="H28" s="39" t="s">
        <v>1</v>
      </c>
      <c r="I28" s="39">
        <v>28.603059999999999</v>
      </c>
      <c r="J28" s="39">
        <v>0.69118100000000005</v>
      </c>
      <c r="K28" s="39">
        <v>10.09801</v>
      </c>
      <c r="L28" s="39">
        <v>1.36E-5</v>
      </c>
      <c r="M28" s="39">
        <v>2.7718E-2</v>
      </c>
      <c r="N28" s="39">
        <v>8.8800000000000001E-4</v>
      </c>
      <c r="O28" s="39">
        <v>3.3002999999999998E-2</v>
      </c>
      <c r="P28" s="49"/>
    </row>
    <row r="29" spans="4:16">
      <c r="D29" s="47"/>
      <c r="E29" s="39">
        <v>0</v>
      </c>
      <c r="F29" s="39">
        <v>120</v>
      </c>
      <c r="G29" s="39">
        <v>3</v>
      </c>
      <c r="H29" s="39" t="s">
        <v>2</v>
      </c>
      <c r="I29" s="39">
        <v>37.27617</v>
      </c>
      <c r="J29" s="39">
        <v>0.71675599999999995</v>
      </c>
      <c r="K29" s="39">
        <v>10.618119999999999</v>
      </c>
      <c r="L29" s="39">
        <v>1.0200000000000001E-5</v>
      </c>
      <c r="M29" s="39">
        <v>2.4594000000000001E-2</v>
      </c>
      <c r="N29" s="39">
        <v>9.68E-4</v>
      </c>
      <c r="O29" s="39">
        <v>2.2988999999999999E-2</v>
      </c>
      <c r="P29" s="49"/>
    </row>
    <row r="30" spans="4:16">
      <c r="D30" s="47"/>
      <c r="E30" s="39">
        <v>0</v>
      </c>
      <c r="F30" s="39">
        <v>120</v>
      </c>
      <c r="G30" s="39">
        <v>4</v>
      </c>
      <c r="H30" s="39" t="s">
        <v>3</v>
      </c>
      <c r="I30" s="39">
        <v>32.167079999999999</v>
      </c>
      <c r="J30" s="39">
        <v>0.664829</v>
      </c>
      <c r="K30" s="39">
        <v>8.0874030000000001</v>
      </c>
      <c r="L30" s="39">
        <v>1.5999999999999999E-5</v>
      </c>
      <c r="M30" s="39">
        <v>3.9781999999999998E-2</v>
      </c>
      <c r="N30" s="39">
        <v>2.4680000000000001E-3</v>
      </c>
      <c r="O30" s="39">
        <v>2.6789E-2</v>
      </c>
      <c r="P30" s="49"/>
    </row>
    <row r="31" spans="4:16">
      <c r="D31" s="47"/>
      <c r="E31" s="39">
        <v>0</v>
      </c>
      <c r="F31" s="39">
        <v>120</v>
      </c>
      <c r="G31" s="39">
        <v>5</v>
      </c>
      <c r="H31" s="39" t="s">
        <v>4</v>
      </c>
      <c r="I31" s="39">
        <v>35.521940000000001</v>
      </c>
      <c r="J31" s="39">
        <v>0.698627</v>
      </c>
      <c r="K31" s="39">
        <v>7.1551939999999998</v>
      </c>
      <c r="L31" s="39">
        <v>1.5099999999999999E-5</v>
      </c>
      <c r="M31" s="39">
        <v>3.4759999999999999E-2</v>
      </c>
      <c r="N31" s="39">
        <v>2.075E-3</v>
      </c>
      <c r="O31" s="39">
        <v>1.7918E-2</v>
      </c>
      <c r="P31" s="49"/>
    </row>
    <row r="32" spans="4:16">
      <c r="D32" s="47"/>
      <c r="E32" s="39">
        <v>0</v>
      </c>
      <c r="F32" s="39">
        <v>120</v>
      </c>
      <c r="G32" s="39">
        <v>6</v>
      </c>
      <c r="H32" s="39" t="s">
        <v>5</v>
      </c>
      <c r="I32" s="39">
        <v>44.70767</v>
      </c>
      <c r="J32" s="39">
        <v>0.69001199999999996</v>
      </c>
      <c r="K32" s="39">
        <v>5.4948189999999997</v>
      </c>
      <c r="L32" s="39">
        <v>2.3499999999999999E-5</v>
      </c>
      <c r="M32" s="39">
        <v>4.2571999999999999E-2</v>
      </c>
      <c r="N32" s="39">
        <v>1.8630000000000001E-3</v>
      </c>
      <c r="O32" s="39">
        <v>1.4156E-2</v>
      </c>
      <c r="P32" s="49"/>
    </row>
    <row r="33" spans="4:16">
      <c r="D33" s="47"/>
      <c r="E33" s="39">
        <v>0</v>
      </c>
      <c r="F33" s="39">
        <v>120</v>
      </c>
      <c r="G33" s="39">
        <v>7</v>
      </c>
      <c r="H33" s="39" t="s">
        <v>6</v>
      </c>
      <c r="I33" s="39">
        <v>51.733759999999997</v>
      </c>
      <c r="J33" s="39">
        <v>0.62712800000000002</v>
      </c>
      <c r="K33" s="39">
        <v>8.4807450000000006</v>
      </c>
      <c r="L33" s="39">
        <v>2.37E-5</v>
      </c>
      <c r="M33" s="39">
        <v>3.7502000000000001E-2</v>
      </c>
      <c r="N33" s="39">
        <v>1.748E-3</v>
      </c>
      <c r="O33" s="39">
        <v>1.2201E-2</v>
      </c>
      <c r="P33" s="49"/>
    </row>
    <row r="34" spans="4:16">
      <c r="D34" s="47"/>
      <c r="E34" s="39">
        <v>0</v>
      </c>
      <c r="F34" s="39">
        <v>120</v>
      </c>
      <c r="G34" s="39">
        <v>8</v>
      </c>
      <c r="H34" s="39" t="s">
        <v>7</v>
      </c>
      <c r="I34" s="39">
        <v>64.408280000000005</v>
      </c>
      <c r="J34" s="39">
        <v>0.42487799999999998</v>
      </c>
      <c r="K34" s="39">
        <v>10.711080000000001</v>
      </c>
      <c r="L34" s="39">
        <v>3.8699999999999999E-5</v>
      </c>
      <c r="M34" s="39">
        <v>8.1776000000000001E-2</v>
      </c>
      <c r="N34" s="39">
        <v>2.31E-4</v>
      </c>
      <c r="O34" s="39">
        <v>7.2189999999999997E-3</v>
      </c>
      <c r="P34" s="49"/>
    </row>
    <row r="35" spans="4:16">
      <c r="D35" s="47"/>
      <c r="E35" s="39">
        <v>0</v>
      </c>
      <c r="F35" s="39">
        <v>120</v>
      </c>
      <c r="G35" s="39">
        <v>9</v>
      </c>
      <c r="H35" s="39" t="s">
        <v>8</v>
      </c>
      <c r="I35" s="39">
        <v>100.4786</v>
      </c>
      <c r="J35" s="39">
        <v>0.58051200000000003</v>
      </c>
      <c r="K35" s="39">
        <v>9.200564</v>
      </c>
      <c r="L35" s="39">
        <v>1.4100000000000001E-5</v>
      </c>
      <c r="M35" s="39">
        <v>6.5886E-2</v>
      </c>
      <c r="N35" s="39">
        <v>1.041E-3</v>
      </c>
      <c r="O35" s="39">
        <v>4.8809999999999999E-3</v>
      </c>
      <c r="P35" s="49"/>
    </row>
    <row r="36" spans="4:16">
      <c r="D36" s="47"/>
      <c r="E36" s="39">
        <v>0</v>
      </c>
      <c r="F36" s="39">
        <v>120</v>
      </c>
      <c r="G36" s="39">
        <v>10</v>
      </c>
      <c r="H36" s="39" t="s">
        <v>9</v>
      </c>
      <c r="I36" s="39">
        <v>86.530479999999997</v>
      </c>
      <c r="J36" s="39">
        <v>0.42528100000000002</v>
      </c>
      <c r="K36" s="39">
        <v>9.1821970000000004</v>
      </c>
      <c r="L36" s="39">
        <v>3.8000000000000002E-5</v>
      </c>
      <c r="M36" s="39">
        <v>8.7722999999999995E-2</v>
      </c>
      <c r="N36" s="39">
        <v>2.0100000000000001E-4</v>
      </c>
      <c r="O36" s="39">
        <v>7.0540000000000004E-3</v>
      </c>
      <c r="P36" s="49"/>
    </row>
    <row r="37" spans="4:16">
      <c r="D37" s="47"/>
      <c r="E37" s="39">
        <v>0</v>
      </c>
      <c r="F37" s="39">
        <v>120</v>
      </c>
      <c r="G37" s="39">
        <v>11</v>
      </c>
      <c r="H37" s="39" t="s">
        <v>10</v>
      </c>
      <c r="I37" s="39">
        <v>95.739090000000004</v>
      </c>
      <c r="J37" s="39">
        <v>0.47672500000000001</v>
      </c>
      <c r="K37" s="39">
        <v>8.7576479999999997</v>
      </c>
      <c r="L37" s="39">
        <v>3.15E-5</v>
      </c>
      <c r="M37" s="39">
        <v>8.5014000000000006E-2</v>
      </c>
      <c r="N37" s="39">
        <v>2.9700000000000001E-4</v>
      </c>
      <c r="O37" s="39">
        <v>4.718E-3</v>
      </c>
      <c r="P37" s="49"/>
    </row>
    <row r="38" spans="4:16">
      <c r="D38" s="47"/>
      <c r="E38" s="39">
        <v>0</v>
      </c>
      <c r="F38" s="39">
        <v>120</v>
      </c>
      <c r="G38" s="39">
        <v>12</v>
      </c>
      <c r="H38" s="39" t="s">
        <v>11</v>
      </c>
      <c r="I38" s="39">
        <v>103.705</v>
      </c>
      <c r="J38" s="39">
        <v>0.48207800000000001</v>
      </c>
      <c r="K38" s="39">
        <v>8.4908839999999994</v>
      </c>
      <c r="L38" s="39">
        <v>2.9099999999999999E-5</v>
      </c>
      <c r="M38" s="39">
        <v>8.6407999999999999E-2</v>
      </c>
      <c r="N38" s="39">
        <v>2.5399999999999999E-4</v>
      </c>
      <c r="O38" s="39">
        <v>4.3470000000000002E-3</v>
      </c>
      <c r="P38" s="49"/>
    </row>
    <row r="39" spans="4:16">
      <c r="D39" s="47"/>
      <c r="E39" s="39">
        <v>0</v>
      </c>
      <c r="F39" s="39">
        <v>120</v>
      </c>
      <c r="G39" s="39">
        <v>13</v>
      </c>
      <c r="H39" s="39" t="s">
        <v>12</v>
      </c>
      <c r="I39" s="39">
        <v>109.8207</v>
      </c>
      <c r="J39" s="39">
        <v>0.488207</v>
      </c>
      <c r="K39" s="39">
        <v>7.5056700000000003</v>
      </c>
      <c r="L39" s="39">
        <v>3.0899999999999999E-5</v>
      </c>
      <c r="M39" s="39">
        <v>8.1612000000000004E-2</v>
      </c>
      <c r="N39" s="39">
        <v>4.8000000000000001E-5</v>
      </c>
      <c r="O39" s="39">
        <v>4.1729999999999996E-3</v>
      </c>
      <c r="P39" s="49"/>
    </row>
    <row r="40" spans="4:16">
      <c r="D40" s="47"/>
      <c r="E40" s="39">
        <v>0</v>
      </c>
      <c r="F40" s="39">
        <v>120</v>
      </c>
      <c r="G40" s="39">
        <v>14</v>
      </c>
      <c r="H40" s="39" t="s">
        <v>14</v>
      </c>
      <c r="I40" s="39">
        <v>121.5633</v>
      </c>
      <c r="J40" s="39">
        <v>0.465999</v>
      </c>
      <c r="K40" s="39">
        <v>7.9445209999999999</v>
      </c>
      <c r="L40" s="39">
        <v>2.7100000000000001E-5</v>
      </c>
      <c r="M40" s="39">
        <v>9.1666999999999998E-2</v>
      </c>
      <c r="N40" s="39">
        <v>7.4499999999999995E-5</v>
      </c>
      <c r="O40" s="39">
        <v>3.7690000000000002E-3</v>
      </c>
      <c r="P40" s="49"/>
    </row>
    <row r="41" spans="4:16">
      <c r="D41" s="47"/>
      <c r="E41" s="39">
        <v>0</v>
      </c>
      <c r="F41" s="39">
        <v>120</v>
      </c>
      <c r="G41" s="39">
        <v>15</v>
      </c>
      <c r="H41" s="39" t="s">
        <v>15</v>
      </c>
      <c r="I41" s="39">
        <v>120.5663</v>
      </c>
      <c r="J41" s="39">
        <v>0.481958</v>
      </c>
      <c r="K41" s="39">
        <v>7.6964490000000003</v>
      </c>
      <c r="L41" s="39">
        <v>2.7900000000000001E-5</v>
      </c>
      <c r="M41" s="39">
        <v>8.6352999999999999E-2</v>
      </c>
      <c r="N41" s="39">
        <v>1.21E-4</v>
      </c>
      <c r="O41" s="39">
        <v>3.803E-3</v>
      </c>
      <c r="P41" s="49"/>
    </row>
    <row r="42" spans="4:16">
      <c r="D42" s="47"/>
      <c r="E42" s="39">
        <v>0</v>
      </c>
      <c r="F42" s="39">
        <v>120</v>
      </c>
      <c r="G42" s="39">
        <v>16</v>
      </c>
      <c r="H42" s="39" t="s">
        <v>16</v>
      </c>
      <c r="I42" s="39">
        <v>147.22839999999999</v>
      </c>
      <c r="J42" s="39">
        <v>0.45647399999999999</v>
      </c>
      <c r="K42" s="39">
        <v>7.6837669999999996</v>
      </c>
      <c r="L42" s="39">
        <v>2.3300000000000001E-5</v>
      </c>
      <c r="M42" s="39">
        <v>9.6412999999999999E-2</v>
      </c>
      <c r="N42" s="39">
        <v>3.9799999999999998E-5</v>
      </c>
      <c r="O42" s="39">
        <v>3.1519999999999999E-3</v>
      </c>
      <c r="P42" s="49"/>
    </row>
    <row r="43" spans="4:16">
      <c r="D43" s="47"/>
      <c r="E43" s="39">
        <v>0</v>
      </c>
      <c r="F43" s="39">
        <v>120</v>
      </c>
      <c r="G43" s="39">
        <v>17</v>
      </c>
      <c r="H43" s="39" t="s">
        <v>17</v>
      </c>
      <c r="I43" s="39">
        <v>170.9616</v>
      </c>
      <c r="J43" s="39">
        <v>0.46971400000000002</v>
      </c>
      <c r="K43" s="39">
        <v>7.9341730000000004</v>
      </c>
      <c r="L43" s="39">
        <v>1.88E-5</v>
      </c>
      <c r="M43" s="39">
        <v>9.8067000000000001E-2</v>
      </c>
      <c r="N43" s="39">
        <v>2.72E-4</v>
      </c>
      <c r="O43" s="39">
        <v>2.7160000000000001E-3</v>
      </c>
      <c r="P43" s="49"/>
    </row>
    <row r="44" spans="4:16">
      <c r="D44" s="47"/>
      <c r="E44" s="39">
        <v>0</v>
      </c>
      <c r="F44" s="39">
        <v>120</v>
      </c>
      <c r="G44" s="39">
        <v>18</v>
      </c>
      <c r="H44" s="39" t="s">
        <v>18</v>
      </c>
      <c r="I44" s="39">
        <v>166.66900000000001</v>
      </c>
      <c r="J44" s="39">
        <v>0.45333200000000001</v>
      </c>
      <c r="K44" s="39">
        <v>7.1983499999999996</v>
      </c>
      <c r="L44" s="39">
        <v>2.2099999999999998E-5</v>
      </c>
      <c r="M44" s="39">
        <v>9.7882999999999998E-2</v>
      </c>
      <c r="N44" s="39">
        <v>-6.9999999999999994E-5</v>
      </c>
      <c r="O44" s="39">
        <v>2.8029999999999999E-3</v>
      </c>
      <c r="P44" s="49"/>
    </row>
    <row r="45" spans="4:16">
      <c r="D45" s="47"/>
      <c r="E45" s="39">
        <v>0</v>
      </c>
      <c r="F45" s="39">
        <v>120</v>
      </c>
      <c r="G45" s="39">
        <v>19</v>
      </c>
      <c r="H45" s="39" t="s">
        <v>19</v>
      </c>
      <c r="I45" s="39">
        <v>187.60230000000001</v>
      </c>
      <c r="J45" s="39">
        <v>0.45952300000000001</v>
      </c>
      <c r="K45" s="39">
        <v>7.026224</v>
      </c>
      <c r="L45" s="39">
        <v>2.0000000000000002E-5</v>
      </c>
      <c r="M45" s="39">
        <v>9.8623000000000002E-2</v>
      </c>
      <c r="N45" s="39">
        <v>-3.0000000000000001E-5</v>
      </c>
      <c r="O45" s="39">
        <v>2.496E-3</v>
      </c>
      <c r="P45" s="49"/>
    </row>
    <row r="46" spans="4:16">
      <c r="D46" s="47"/>
      <c r="E46" s="39">
        <v>0</v>
      </c>
      <c r="F46" s="39">
        <v>120</v>
      </c>
      <c r="G46" s="39">
        <v>20</v>
      </c>
      <c r="H46" s="39" t="s">
        <v>20</v>
      </c>
      <c r="I46" s="39">
        <v>190.26480000000001</v>
      </c>
      <c r="J46" s="39">
        <v>0.45888400000000001</v>
      </c>
      <c r="K46" s="39">
        <v>6.7527359999999996</v>
      </c>
      <c r="L46" s="39">
        <v>2.0400000000000001E-5</v>
      </c>
      <c r="M46" s="39">
        <v>9.8382999999999998E-2</v>
      </c>
      <c r="N46" s="39">
        <v>-1.2999999999999999E-4</v>
      </c>
      <c r="O46" s="39">
        <v>2.4620000000000002E-3</v>
      </c>
      <c r="P46" s="49"/>
    </row>
    <row r="47" spans="4:16">
      <c r="D47" s="47"/>
      <c r="E47" s="50"/>
      <c r="F47" s="50"/>
      <c r="G47" s="50"/>
      <c r="H47" s="50"/>
      <c r="I47" s="50"/>
      <c r="J47" s="50"/>
      <c r="K47" s="50"/>
      <c r="L47" s="50"/>
      <c r="M47" s="50"/>
      <c r="N47" s="50"/>
      <c r="O47" s="50"/>
      <c r="P47" s="49"/>
    </row>
    <row r="48" spans="4:16">
      <c r="D48" s="47"/>
      <c r="E48" s="22" t="s">
        <v>21</v>
      </c>
      <c r="F48" s="22" t="s">
        <v>22</v>
      </c>
      <c r="G48" s="22"/>
      <c r="H48" s="22" t="s">
        <v>13</v>
      </c>
      <c r="I48" s="22" t="s">
        <v>27</v>
      </c>
      <c r="J48" s="22" t="s">
        <v>28</v>
      </c>
      <c r="K48" s="22" t="s">
        <v>29</v>
      </c>
      <c r="L48" s="22" t="s">
        <v>30</v>
      </c>
      <c r="M48" s="22" t="s">
        <v>31</v>
      </c>
      <c r="N48" s="22" t="s">
        <v>32</v>
      </c>
      <c r="O48" s="22" t="s">
        <v>33</v>
      </c>
      <c r="P48" s="49"/>
    </row>
    <row r="49" spans="4:16">
      <c r="D49" s="47"/>
      <c r="E49" s="39">
        <v>0</v>
      </c>
      <c r="F49" s="39">
        <v>300</v>
      </c>
      <c r="G49" s="39">
        <v>1</v>
      </c>
      <c r="H49" s="39" t="s">
        <v>0</v>
      </c>
      <c r="I49" s="39">
        <v>21.719449999999998</v>
      </c>
      <c r="J49" s="39">
        <v>0.68345599999999995</v>
      </c>
      <c r="K49" s="39">
        <v>8.4074080000000002</v>
      </c>
      <c r="L49" s="39">
        <v>1.7099999999999999E-5</v>
      </c>
      <c r="M49" s="39">
        <v>3.0865E-2</v>
      </c>
      <c r="N49" s="39">
        <v>6.6100000000000002E-4</v>
      </c>
      <c r="O49" s="39">
        <v>5.2795000000000002E-2</v>
      </c>
      <c r="P49" s="49"/>
    </row>
    <row r="50" spans="4:16">
      <c r="D50" s="47"/>
      <c r="E50" s="39">
        <v>0</v>
      </c>
      <c r="F50" s="39">
        <v>300</v>
      </c>
      <c r="G50" s="39">
        <v>2</v>
      </c>
      <c r="H50" s="39" t="s">
        <v>1</v>
      </c>
      <c r="I50" s="39">
        <v>28.72457</v>
      </c>
      <c r="J50" s="39">
        <v>0.69016299999999997</v>
      </c>
      <c r="K50" s="39">
        <v>9.6627480000000006</v>
      </c>
      <c r="L50" s="39">
        <v>1.2500000000000001E-5</v>
      </c>
      <c r="M50" s="39">
        <v>2.8906999999999999E-2</v>
      </c>
      <c r="N50" s="39">
        <v>7.7499999999999997E-4</v>
      </c>
      <c r="O50" s="39">
        <v>4.1417000000000002E-2</v>
      </c>
      <c r="P50" s="49"/>
    </row>
    <row r="51" spans="4:16">
      <c r="D51" s="47"/>
      <c r="E51" s="39">
        <v>0</v>
      </c>
      <c r="F51" s="39">
        <v>300</v>
      </c>
      <c r="G51" s="39">
        <v>3</v>
      </c>
      <c r="H51" s="39" t="s">
        <v>2</v>
      </c>
      <c r="I51" s="39">
        <v>37.543779999999998</v>
      </c>
      <c r="J51" s="39">
        <v>0.71428499999999995</v>
      </c>
      <c r="K51" s="39">
        <v>10.120229999999999</v>
      </c>
      <c r="L51" s="39">
        <v>8.8599999999999999E-6</v>
      </c>
      <c r="M51" s="39">
        <v>2.5839999999999998E-2</v>
      </c>
      <c r="N51" s="39">
        <v>8.4099999999999995E-4</v>
      </c>
      <c r="O51" s="39">
        <v>3.0384999999999999E-2</v>
      </c>
      <c r="P51" s="49"/>
    </row>
    <row r="52" spans="4:16">
      <c r="D52" s="47"/>
      <c r="E52" s="39">
        <v>0</v>
      </c>
      <c r="F52" s="39">
        <v>300</v>
      </c>
      <c r="G52" s="39">
        <v>4</v>
      </c>
      <c r="H52" s="39" t="s">
        <v>3</v>
      </c>
      <c r="I52" s="39">
        <v>32.326189999999997</v>
      </c>
      <c r="J52" s="39">
        <v>0.63396699999999995</v>
      </c>
      <c r="K52" s="39">
        <v>8.0754380000000001</v>
      </c>
      <c r="L52" s="39">
        <v>1.9400000000000001E-5</v>
      </c>
      <c r="M52" s="39">
        <v>4.0550000000000003E-2</v>
      </c>
      <c r="N52" s="39">
        <v>2.3749999999999999E-3</v>
      </c>
      <c r="O52" s="39">
        <v>3.8046999999999997E-2</v>
      </c>
      <c r="P52" s="49"/>
    </row>
    <row r="53" spans="4:16">
      <c r="D53" s="47"/>
      <c r="E53" s="39">
        <v>0</v>
      </c>
      <c r="F53" s="39">
        <v>300</v>
      </c>
      <c r="G53" s="39">
        <v>5</v>
      </c>
      <c r="H53" s="39" t="s">
        <v>4</v>
      </c>
      <c r="I53" s="39">
        <v>35.751350000000002</v>
      </c>
      <c r="J53" s="39">
        <v>0.67349800000000004</v>
      </c>
      <c r="K53" s="39">
        <v>7.1587480000000001</v>
      </c>
      <c r="L53" s="39">
        <v>1.88E-5</v>
      </c>
      <c r="M53" s="39">
        <v>3.5479999999999998E-2</v>
      </c>
      <c r="N53" s="39">
        <v>1.98E-3</v>
      </c>
      <c r="O53" s="39">
        <v>2.3408000000000002E-2</v>
      </c>
      <c r="P53" s="49"/>
    </row>
    <row r="54" spans="4:16">
      <c r="D54" s="47"/>
      <c r="E54" s="39">
        <v>0</v>
      </c>
      <c r="F54" s="39">
        <v>300</v>
      </c>
      <c r="G54" s="39">
        <v>6</v>
      </c>
      <c r="H54" s="39" t="s">
        <v>5</v>
      </c>
      <c r="I54" s="39">
        <v>44.767090000000003</v>
      </c>
      <c r="J54" s="39">
        <v>0.67465799999999998</v>
      </c>
      <c r="K54" s="39">
        <v>5.507015</v>
      </c>
      <c r="L54" s="39">
        <v>2.6100000000000001E-5</v>
      </c>
      <c r="M54" s="39">
        <v>4.2689999999999999E-2</v>
      </c>
      <c r="N54" s="39">
        <v>1.8420000000000001E-3</v>
      </c>
      <c r="O54" s="39">
        <v>1.7887E-2</v>
      </c>
      <c r="P54" s="49"/>
    </row>
    <row r="55" spans="4:16">
      <c r="D55" s="47"/>
      <c r="E55" s="39">
        <v>0</v>
      </c>
      <c r="F55" s="39">
        <v>300</v>
      </c>
      <c r="G55" s="39">
        <v>7</v>
      </c>
      <c r="H55" s="39" t="s">
        <v>6</v>
      </c>
      <c r="I55" s="39">
        <v>51.975659999999998</v>
      </c>
      <c r="J55" s="39">
        <v>0.53651899999999997</v>
      </c>
      <c r="K55" s="39">
        <v>9.2193070000000006</v>
      </c>
      <c r="L55" s="39">
        <v>4.0399999999999999E-5</v>
      </c>
      <c r="M55" s="39">
        <v>3.8001E-2</v>
      </c>
      <c r="N55" s="39">
        <v>1.66E-3</v>
      </c>
      <c r="O55" s="39">
        <v>1.7562000000000001E-2</v>
      </c>
      <c r="P55" s="49"/>
    </row>
    <row r="56" spans="4:16">
      <c r="D56" s="47"/>
      <c r="E56" s="39">
        <v>0</v>
      </c>
      <c r="F56" s="39">
        <v>300</v>
      </c>
      <c r="G56" s="39">
        <v>8</v>
      </c>
      <c r="H56" s="39" t="s">
        <v>7</v>
      </c>
      <c r="I56" s="39">
        <v>65.102720000000005</v>
      </c>
      <c r="J56" s="39">
        <v>0.31579200000000002</v>
      </c>
      <c r="K56" s="39">
        <v>11.51216</v>
      </c>
      <c r="L56" s="39">
        <v>6.0600000000000003E-5</v>
      </c>
      <c r="M56" s="39">
        <v>8.2456000000000002E-2</v>
      </c>
      <c r="N56" s="39">
        <v>8.0400000000000003E-5</v>
      </c>
      <c r="O56" s="39">
        <v>9.8490000000000001E-3</v>
      </c>
      <c r="P56" s="49"/>
    </row>
    <row r="57" spans="4:16">
      <c r="D57" s="47"/>
      <c r="E57" s="39">
        <v>0</v>
      </c>
      <c r="F57" s="39">
        <v>300</v>
      </c>
      <c r="G57" s="39">
        <v>9</v>
      </c>
      <c r="H57" s="39" t="s">
        <v>8</v>
      </c>
      <c r="I57" s="39">
        <v>102.61369999999999</v>
      </c>
      <c r="J57" s="39">
        <v>0.50781699999999996</v>
      </c>
      <c r="K57" s="39">
        <v>9.463476</v>
      </c>
      <c r="L57" s="39">
        <v>2.6100000000000001E-5</v>
      </c>
      <c r="M57" s="39">
        <v>6.5827999999999998E-2</v>
      </c>
      <c r="N57" s="39">
        <v>9.0899999999999998E-4</v>
      </c>
      <c r="O57" s="39">
        <v>6.6119999999999998E-3</v>
      </c>
      <c r="P57" s="49"/>
    </row>
    <row r="58" spans="4:16">
      <c r="D58" s="47"/>
      <c r="E58" s="39">
        <v>0</v>
      </c>
      <c r="F58" s="39">
        <v>300</v>
      </c>
      <c r="G58" s="39">
        <v>10</v>
      </c>
      <c r="H58" s="39" t="s">
        <v>9</v>
      </c>
      <c r="I58" s="39">
        <v>87.245720000000006</v>
      </c>
      <c r="J58" s="39">
        <v>0.30745899999999998</v>
      </c>
      <c r="K58" s="39">
        <v>9.9527750000000008</v>
      </c>
      <c r="L58" s="39">
        <v>6.3800000000000006E-5</v>
      </c>
      <c r="M58" s="39">
        <v>8.8664000000000007E-2</v>
      </c>
      <c r="N58" s="39">
        <v>5.1600000000000001E-5</v>
      </c>
      <c r="O58" s="39">
        <v>9.3609999999999995E-3</v>
      </c>
      <c r="P58" s="49"/>
    </row>
    <row r="59" spans="4:16">
      <c r="D59" s="47"/>
      <c r="E59" s="39">
        <v>0</v>
      </c>
      <c r="F59" s="39">
        <v>300</v>
      </c>
      <c r="G59" s="39">
        <v>11</v>
      </c>
      <c r="H59" s="39" t="s">
        <v>10</v>
      </c>
      <c r="I59" s="39">
        <v>96.62218</v>
      </c>
      <c r="J59" s="39">
        <v>0.41037899999999999</v>
      </c>
      <c r="K59" s="39">
        <v>9.0879960000000004</v>
      </c>
      <c r="L59" s="39">
        <v>4.74E-5</v>
      </c>
      <c r="M59" s="39">
        <v>8.6042999999999994E-2</v>
      </c>
      <c r="N59" s="39">
        <v>1.47E-4</v>
      </c>
      <c r="O59" s="39">
        <v>5.6550000000000003E-3</v>
      </c>
      <c r="P59" s="49"/>
    </row>
    <row r="60" spans="4:16">
      <c r="D60" s="47"/>
      <c r="E60" s="39">
        <v>0</v>
      </c>
      <c r="F60" s="39">
        <v>300</v>
      </c>
      <c r="G60" s="39">
        <v>12</v>
      </c>
      <c r="H60" s="39" t="s">
        <v>11</v>
      </c>
      <c r="I60" s="39">
        <v>104.7388</v>
      </c>
      <c r="J60" s="39">
        <v>0.41730299999999998</v>
      </c>
      <c r="K60" s="39">
        <v>8.8147739999999999</v>
      </c>
      <c r="L60" s="39">
        <v>4.4700000000000002E-5</v>
      </c>
      <c r="M60" s="39">
        <v>8.7314000000000003E-2</v>
      </c>
      <c r="N60" s="39">
        <v>1.08E-4</v>
      </c>
      <c r="O60" s="39">
        <v>5.1510000000000002E-3</v>
      </c>
      <c r="P60" s="49"/>
    </row>
    <row r="61" spans="4:16">
      <c r="D61" s="47"/>
      <c r="E61" s="39">
        <v>0</v>
      </c>
      <c r="F61" s="39">
        <v>300</v>
      </c>
      <c r="G61" s="39">
        <v>13</v>
      </c>
      <c r="H61" s="39" t="s">
        <v>12</v>
      </c>
      <c r="I61" s="39">
        <v>111.0581</v>
      </c>
      <c r="J61" s="39">
        <v>0.39321899999999999</v>
      </c>
      <c r="K61" s="39">
        <v>8.2346470000000007</v>
      </c>
      <c r="L61" s="39">
        <v>5.4700000000000001E-5</v>
      </c>
      <c r="M61" s="39">
        <v>8.2282999999999995E-2</v>
      </c>
      <c r="N61" s="39">
        <v>-9.0000000000000006E-5</v>
      </c>
      <c r="O61" s="39">
        <v>4.9259999999999998E-3</v>
      </c>
      <c r="P61" s="49"/>
    </row>
    <row r="62" spans="4:16">
      <c r="D62" s="47"/>
      <c r="E62" s="39">
        <v>0</v>
      </c>
      <c r="F62" s="39">
        <v>300</v>
      </c>
      <c r="G62" s="39">
        <v>14</v>
      </c>
      <c r="H62" s="39" t="s">
        <v>14</v>
      </c>
      <c r="I62" s="39">
        <v>123.0926</v>
      </c>
      <c r="J62" s="39">
        <v>0.37736900000000001</v>
      </c>
      <c r="K62" s="39">
        <v>8.5714699999999997</v>
      </c>
      <c r="L62" s="39">
        <v>4.8999999999999998E-5</v>
      </c>
      <c r="M62" s="39">
        <v>9.2192999999999997E-2</v>
      </c>
      <c r="N62" s="39">
        <v>-6.7000000000000002E-5</v>
      </c>
      <c r="O62" s="39">
        <v>4.4219999999999997E-3</v>
      </c>
      <c r="P62" s="49"/>
    </row>
    <row r="63" spans="4:16">
      <c r="D63" s="47"/>
      <c r="E63" s="39">
        <v>0</v>
      </c>
      <c r="F63" s="39">
        <v>300</v>
      </c>
      <c r="G63" s="39">
        <v>15</v>
      </c>
      <c r="H63" s="39" t="s">
        <v>15</v>
      </c>
      <c r="I63" s="39">
        <v>122.0029</v>
      </c>
      <c r="J63" s="39">
        <v>0.38769199999999998</v>
      </c>
      <c r="K63" s="39">
        <v>8.4018960000000007</v>
      </c>
      <c r="L63" s="39">
        <v>5.13E-5</v>
      </c>
      <c r="M63" s="39">
        <v>8.6992E-2</v>
      </c>
      <c r="N63" s="39">
        <v>-2.1999999999999999E-5</v>
      </c>
      <c r="O63" s="39">
        <v>4.4879999999999998E-3</v>
      </c>
      <c r="P63" s="49"/>
    </row>
    <row r="64" spans="4:16">
      <c r="D64" s="47"/>
      <c r="E64" s="39">
        <v>0</v>
      </c>
      <c r="F64" s="39">
        <v>300</v>
      </c>
      <c r="G64" s="39">
        <v>16</v>
      </c>
      <c r="H64" s="39" t="s">
        <v>16</v>
      </c>
      <c r="I64" s="39">
        <v>149.47749999999999</v>
      </c>
      <c r="J64" s="39">
        <v>0.35631099999999999</v>
      </c>
      <c r="K64" s="39">
        <v>8.4375619999999998</v>
      </c>
      <c r="L64" s="39">
        <v>4.7800000000000003E-5</v>
      </c>
      <c r="M64" s="39">
        <v>9.6562999999999996E-2</v>
      </c>
      <c r="N64" s="39">
        <v>-9.6000000000000002E-5</v>
      </c>
      <c r="O64" s="39">
        <v>3.699E-3</v>
      </c>
      <c r="P64" s="49"/>
    </row>
    <row r="65" spans="4:16">
      <c r="D65" s="47"/>
      <c r="E65" s="39">
        <v>0</v>
      </c>
      <c r="F65" s="39">
        <v>300</v>
      </c>
      <c r="G65" s="39">
        <v>17</v>
      </c>
      <c r="H65" s="39" t="s">
        <v>17</v>
      </c>
      <c r="I65" s="39">
        <v>174.0196</v>
      </c>
      <c r="J65" s="39">
        <v>0.38016100000000003</v>
      </c>
      <c r="K65" s="39">
        <v>8.5182520000000004</v>
      </c>
      <c r="L65" s="39">
        <v>4.0000000000000003E-5</v>
      </c>
      <c r="M65" s="39">
        <v>9.7963999999999996E-2</v>
      </c>
      <c r="N65" s="39">
        <v>1.35E-4</v>
      </c>
      <c r="O65" s="39">
        <v>3.1710000000000002E-3</v>
      </c>
      <c r="P65" s="49"/>
    </row>
    <row r="66" spans="4:16">
      <c r="D66" s="47"/>
      <c r="E66" s="39">
        <v>0</v>
      </c>
      <c r="F66" s="39">
        <v>300</v>
      </c>
      <c r="G66" s="39">
        <v>18</v>
      </c>
      <c r="H66" s="39" t="s">
        <v>18</v>
      </c>
      <c r="I66" s="39">
        <v>169.48840000000001</v>
      </c>
      <c r="J66" s="39">
        <v>0.33756799999999998</v>
      </c>
      <c r="K66" s="39">
        <v>8.1538970000000006</v>
      </c>
      <c r="L66" s="39">
        <v>5.0500000000000001E-5</v>
      </c>
      <c r="M66" s="39">
        <v>9.7681000000000004E-2</v>
      </c>
      <c r="N66" s="39">
        <v>-2.0000000000000001E-4</v>
      </c>
      <c r="O66" s="39">
        <v>3.287E-3</v>
      </c>
      <c r="P66" s="49"/>
    </row>
    <row r="67" spans="4:16">
      <c r="D67" s="47"/>
      <c r="E67" s="39">
        <v>0</v>
      </c>
      <c r="F67" s="39">
        <v>300</v>
      </c>
      <c r="G67" s="39">
        <v>19</v>
      </c>
      <c r="H67" s="39" t="s">
        <v>19</v>
      </c>
      <c r="I67" s="39">
        <v>190.83009999999999</v>
      </c>
      <c r="J67" s="39">
        <v>0.33829900000000002</v>
      </c>
      <c r="K67" s="39">
        <v>8.043317</v>
      </c>
      <c r="L67" s="39">
        <v>4.9799999999999998E-5</v>
      </c>
      <c r="M67" s="39">
        <v>9.8254999999999995E-2</v>
      </c>
      <c r="N67" s="39">
        <v>-1.4999999999999999E-4</v>
      </c>
      <c r="O67" s="39">
        <v>2.9359999999999998E-3</v>
      </c>
      <c r="P67" s="49"/>
    </row>
    <row r="68" spans="4:16">
      <c r="D68" s="47"/>
      <c r="E68" s="39">
        <v>0</v>
      </c>
      <c r="F68" s="39">
        <v>300</v>
      </c>
      <c r="G68" s="39">
        <v>20</v>
      </c>
      <c r="H68" s="39" t="s">
        <v>20</v>
      </c>
      <c r="I68" s="39">
        <v>193.66810000000001</v>
      </c>
      <c r="J68" s="39">
        <v>0.33512799999999998</v>
      </c>
      <c r="K68" s="39">
        <v>7.809177</v>
      </c>
      <c r="L68" s="39">
        <v>5.0899999999999997E-5</v>
      </c>
      <c r="M68" s="39">
        <v>9.7887000000000002E-2</v>
      </c>
      <c r="N68" s="39">
        <v>-2.4000000000000001E-4</v>
      </c>
      <c r="O68" s="39">
        <v>2.8890000000000001E-3</v>
      </c>
      <c r="P68" s="49"/>
    </row>
    <row r="69" spans="4:16">
      <c r="D69" s="47"/>
      <c r="E69" s="50"/>
      <c r="F69" s="50"/>
      <c r="G69" s="50"/>
      <c r="H69" s="50"/>
      <c r="I69" s="50"/>
      <c r="J69" s="50"/>
      <c r="K69" s="50"/>
      <c r="L69" s="50"/>
      <c r="M69" s="50"/>
      <c r="N69" s="50"/>
      <c r="O69" s="50"/>
      <c r="P69" s="49"/>
    </row>
    <row r="70" spans="4:16">
      <c r="D70" s="47"/>
      <c r="E70" s="22" t="s">
        <v>21</v>
      </c>
      <c r="F70" s="22" t="s">
        <v>22</v>
      </c>
      <c r="G70" s="22"/>
      <c r="H70" s="22" t="s">
        <v>13</v>
      </c>
      <c r="I70" s="22" t="s">
        <v>27</v>
      </c>
      <c r="J70" s="22" t="s">
        <v>28</v>
      </c>
      <c r="K70" s="22" t="s">
        <v>29</v>
      </c>
      <c r="L70" s="22" t="s">
        <v>30</v>
      </c>
      <c r="M70" s="22" t="s">
        <v>31</v>
      </c>
      <c r="N70" s="22" t="s">
        <v>32</v>
      </c>
      <c r="O70" s="22" t="s">
        <v>33</v>
      </c>
      <c r="P70" s="49"/>
    </row>
    <row r="71" spans="4:16">
      <c r="D71" s="47"/>
      <c r="E71" s="39">
        <v>4</v>
      </c>
      <c r="F71" s="39">
        <v>20</v>
      </c>
      <c r="G71" s="39">
        <v>1</v>
      </c>
      <c r="H71" s="39" t="s">
        <v>0</v>
      </c>
      <c r="I71" s="39">
        <v>21.777010000000001</v>
      </c>
      <c r="J71" s="39">
        <v>0.67664599999999997</v>
      </c>
      <c r="K71" s="39">
        <v>8.8407099999999996</v>
      </c>
      <c r="L71" s="39">
        <v>1.7799999999999999E-5</v>
      </c>
      <c r="M71" s="39">
        <v>2.9250999999999999E-2</v>
      </c>
      <c r="N71" s="39">
        <v>7.7999999999999999E-4</v>
      </c>
      <c r="O71" s="39">
        <v>5.5107000000000003E-2</v>
      </c>
      <c r="P71" s="49"/>
    </row>
    <row r="72" spans="4:16">
      <c r="D72" s="47"/>
      <c r="E72" s="39">
        <v>4</v>
      </c>
      <c r="F72" s="39">
        <v>20</v>
      </c>
      <c r="G72" s="39">
        <v>2</v>
      </c>
      <c r="H72" s="39" t="s">
        <v>1</v>
      </c>
      <c r="I72" s="39">
        <v>28.777370000000001</v>
      </c>
      <c r="J72" s="39">
        <v>0.68413599999999997</v>
      </c>
      <c r="K72" s="39">
        <v>10.14324</v>
      </c>
      <c r="L72" s="39">
        <v>1.34E-5</v>
      </c>
      <c r="M72" s="39">
        <v>2.7084E-2</v>
      </c>
      <c r="N72" s="39">
        <v>9.1500000000000001E-4</v>
      </c>
      <c r="O72" s="39">
        <v>4.2771000000000003E-2</v>
      </c>
      <c r="P72" s="49"/>
    </row>
    <row r="73" spans="4:16">
      <c r="D73" s="47"/>
      <c r="E73" s="39">
        <v>4</v>
      </c>
      <c r="F73" s="39">
        <v>20</v>
      </c>
      <c r="G73" s="39">
        <v>3</v>
      </c>
      <c r="H73" s="39" t="s">
        <v>2</v>
      </c>
      <c r="I73" s="39">
        <v>37.486809999999998</v>
      </c>
      <c r="J73" s="39">
        <v>0.70932700000000004</v>
      </c>
      <c r="K73" s="39">
        <v>10.69816</v>
      </c>
      <c r="L73" s="39">
        <v>1.01E-5</v>
      </c>
      <c r="M73" s="39">
        <v>2.3855999999999999E-2</v>
      </c>
      <c r="N73" s="39">
        <v>1.0089999999999999E-3</v>
      </c>
      <c r="O73" s="39">
        <v>3.0946999999999999E-2</v>
      </c>
      <c r="P73" s="49"/>
    </row>
    <row r="74" spans="4:16">
      <c r="D74" s="47"/>
      <c r="E74" s="39">
        <v>4</v>
      </c>
      <c r="F74" s="39">
        <v>20</v>
      </c>
      <c r="G74" s="39">
        <v>4</v>
      </c>
      <c r="H74" s="39" t="s">
        <v>3</v>
      </c>
      <c r="I74" s="39">
        <v>32.542659999999998</v>
      </c>
      <c r="J74" s="39">
        <v>0.65605500000000005</v>
      </c>
      <c r="K74" s="39">
        <v>8.0872609999999998</v>
      </c>
      <c r="L74" s="39">
        <v>1.1600000000000001E-5</v>
      </c>
      <c r="M74" s="39">
        <v>3.8363000000000001E-2</v>
      </c>
      <c r="N74" s="39">
        <v>2.4759999999999999E-3</v>
      </c>
      <c r="O74" s="39">
        <v>5.1734000000000002E-2</v>
      </c>
      <c r="P74" s="49"/>
    </row>
    <row r="75" spans="4:16">
      <c r="D75" s="47"/>
      <c r="E75" s="39">
        <v>4</v>
      </c>
      <c r="F75" s="39">
        <v>20</v>
      </c>
      <c r="G75" s="39">
        <v>5</v>
      </c>
      <c r="H75" s="39" t="s">
        <v>4</v>
      </c>
      <c r="I75" s="39">
        <v>35.892980000000001</v>
      </c>
      <c r="J75" s="39">
        <v>0.69921500000000003</v>
      </c>
      <c r="K75" s="39">
        <v>7.0086380000000004</v>
      </c>
      <c r="L75" s="39">
        <v>1.2799999999999999E-5</v>
      </c>
      <c r="M75" s="39">
        <v>3.4033000000000001E-2</v>
      </c>
      <c r="N75" s="39">
        <v>2.0769999999999999E-3</v>
      </c>
      <c r="O75" s="39">
        <v>2.5696E-2</v>
      </c>
      <c r="P75" s="49"/>
    </row>
    <row r="76" spans="4:16">
      <c r="D76" s="47"/>
      <c r="E76" s="39">
        <v>4</v>
      </c>
      <c r="F76" s="39">
        <v>20</v>
      </c>
      <c r="G76" s="39">
        <v>6</v>
      </c>
      <c r="H76" s="39" t="s">
        <v>5</v>
      </c>
      <c r="I76" s="39">
        <v>45.389009999999999</v>
      </c>
      <c r="J76" s="39">
        <v>0.66682699999999995</v>
      </c>
      <c r="K76" s="39">
        <v>6.0297890000000001</v>
      </c>
      <c r="L76" s="39">
        <v>1.9899999999999999E-5</v>
      </c>
      <c r="M76" s="39">
        <v>4.0337999999999999E-2</v>
      </c>
      <c r="N76" s="39">
        <v>1.9300000000000001E-3</v>
      </c>
      <c r="O76" s="39">
        <v>3.3109E-2</v>
      </c>
      <c r="P76" s="49"/>
    </row>
    <row r="77" spans="4:16">
      <c r="D77" s="47"/>
      <c r="E77" s="39">
        <v>4</v>
      </c>
      <c r="F77" s="39">
        <v>20</v>
      </c>
      <c r="G77" s="39">
        <v>7</v>
      </c>
      <c r="H77" s="39" t="s">
        <v>6</v>
      </c>
      <c r="I77" s="39">
        <v>52.299399999999999</v>
      </c>
      <c r="J77" s="39">
        <v>0.61539200000000005</v>
      </c>
      <c r="K77" s="39">
        <v>8.4548419999999993</v>
      </c>
      <c r="L77" s="39">
        <v>1.31E-5</v>
      </c>
      <c r="M77" s="39">
        <v>3.5674999999999998E-2</v>
      </c>
      <c r="N77" s="39">
        <v>1.8240000000000001E-3</v>
      </c>
      <c r="O77" s="39">
        <v>2.9212999999999999E-2</v>
      </c>
      <c r="P77" s="49"/>
    </row>
    <row r="78" spans="4:16">
      <c r="D78" s="47"/>
      <c r="E78" s="39">
        <v>4</v>
      </c>
      <c r="F78" s="39">
        <v>20</v>
      </c>
      <c r="G78" s="39">
        <v>8</v>
      </c>
      <c r="H78" s="39" t="s">
        <v>7</v>
      </c>
      <c r="I78" s="39">
        <v>70.526669999999996</v>
      </c>
      <c r="J78" s="39">
        <v>0.40264</v>
      </c>
      <c r="K78" s="39">
        <v>9.2032880000000006</v>
      </c>
      <c r="L78" s="39">
        <v>1.0200000000000001E-5</v>
      </c>
      <c r="M78" s="39">
        <v>7.2623999999999994E-2</v>
      </c>
      <c r="N78" s="39">
        <v>3.6900000000000002E-4</v>
      </c>
      <c r="O78" s="39">
        <v>2.5285999999999999E-2</v>
      </c>
      <c r="P78" s="49"/>
    </row>
    <row r="79" spans="4:16">
      <c r="D79" s="47"/>
      <c r="E79" s="39">
        <v>4</v>
      </c>
      <c r="F79" s="39">
        <v>20</v>
      </c>
      <c r="G79" s="39">
        <v>9</v>
      </c>
      <c r="H79" s="39" t="s">
        <v>8</v>
      </c>
      <c r="I79" s="39">
        <v>107.7354</v>
      </c>
      <c r="J79" s="39">
        <v>0.58361499999999999</v>
      </c>
      <c r="K79" s="39">
        <v>7.3847069999999997</v>
      </c>
      <c r="L79" s="39">
        <v>-5.0000000000000004E-6</v>
      </c>
      <c r="M79" s="39">
        <v>6.2057000000000001E-2</v>
      </c>
      <c r="N79" s="39">
        <v>9.0399999999999996E-4</v>
      </c>
      <c r="O79" s="39">
        <v>1.559E-2</v>
      </c>
      <c r="P79" s="49"/>
    </row>
    <row r="80" spans="4:16">
      <c r="D80" s="47"/>
      <c r="E80" s="39">
        <v>4</v>
      </c>
      <c r="F80" s="39">
        <v>20</v>
      </c>
      <c r="G80" s="39">
        <v>10</v>
      </c>
      <c r="H80" s="39" t="s">
        <v>9</v>
      </c>
      <c r="I80" s="39">
        <v>93.790899999999993</v>
      </c>
      <c r="J80" s="39">
        <v>0.32470300000000002</v>
      </c>
      <c r="K80" s="39">
        <v>9.4393229999999999</v>
      </c>
      <c r="L80" s="39">
        <v>2.0599999999999999E-5</v>
      </c>
      <c r="M80" s="39">
        <v>8.1556000000000003E-2</v>
      </c>
      <c r="N80" s="39">
        <v>2.5300000000000002E-4</v>
      </c>
      <c r="O80" s="39">
        <v>2.1187000000000001E-2</v>
      </c>
      <c r="P80" s="49"/>
    </row>
    <row r="81" spans="4:16">
      <c r="D81" s="47"/>
      <c r="E81" s="39">
        <v>4</v>
      </c>
      <c r="F81" s="39">
        <v>20</v>
      </c>
      <c r="G81" s="39">
        <v>11</v>
      </c>
      <c r="H81" s="39" t="s">
        <v>10</v>
      </c>
      <c r="I81" s="39">
        <v>103.9641</v>
      </c>
      <c r="J81" s="39">
        <v>0.36253800000000003</v>
      </c>
      <c r="K81" s="39">
        <v>8.6772480000000005</v>
      </c>
      <c r="L81" s="39">
        <v>1.59E-5</v>
      </c>
      <c r="M81" s="39">
        <v>7.9563999999999996E-2</v>
      </c>
      <c r="N81" s="39">
        <v>2.8699999999999998E-4</v>
      </c>
      <c r="O81" s="39">
        <v>1.7641E-2</v>
      </c>
      <c r="P81" s="49"/>
    </row>
    <row r="82" spans="4:16">
      <c r="D82" s="47"/>
      <c r="E82" s="39">
        <v>4</v>
      </c>
      <c r="F82" s="39">
        <v>20</v>
      </c>
      <c r="G82" s="39">
        <v>12</v>
      </c>
      <c r="H82" s="39" t="s">
        <v>11</v>
      </c>
      <c r="I82" s="39">
        <v>113.1935</v>
      </c>
      <c r="J82" s="39">
        <v>0.37258200000000002</v>
      </c>
      <c r="K82" s="39">
        <v>8.0973600000000001</v>
      </c>
      <c r="L82" s="39">
        <v>1.2500000000000001E-5</v>
      </c>
      <c r="M82" s="39">
        <v>8.0522999999999997E-2</v>
      </c>
      <c r="N82" s="39">
        <v>2.1499999999999999E-4</v>
      </c>
      <c r="O82" s="39">
        <v>1.6133000000000002E-2</v>
      </c>
      <c r="P82" s="49"/>
    </row>
    <row r="83" spans="4:16">
      <c r="D83" s="47"/>
      <c r="E83" s="39">
        <v>4</v>
      </c>
      <c r="F83" s="39">
        <v>20</v>
      </c>
      <c r="G83" s="39">
        <v>13</v>
      </c>
      <c r="H83" s="39" t="s">
        <v>12</v>
      </c>
      <c r="I83" s="39">
        <v>122.7591</v>
      </c>
      <c r="J83" s="39">
        <v>0.364701</v>
      </c>
      <c r="K83" s="39">
        <v>6.9797209999999996</v>
      </c>
      <c r="L83" s="39">
        <v>1.2E-5</v>
      </c>
      <c r="M83" s="39">
        <v>7.4483999999999995E-2</v>
      </c>
      <c r="N83" s="39">
        <v>-4.0000000000000003E-5</v>
      </c>
      <c r="O83" s="39">
        <v>1.5089E-2</v>
      </c>
      <c r="P83" s="49"/>
    </row>
    <row r="84" spans="4:16">
      <c r="D84" s="47"/>
      <c r="E84" s="39">
        <v>4</v>
      </c>
      <c r="F84" s="39">
        <v>20</v>
      </c>
      <c r="G84" s="39">
        <v>14</v>
      </c>
      <c r="H84" s="39" t="s">
        <v>14</v>
      </c>
      <c r="I84" s="39">
        <v>135.79329999999999</v>
      </c>
      <c r="J84" s="39">
        <v>0.35646800000000001</v>
      </c>
      <c r="K84" s="39">
        <v>7.0873799999999996</v>
      </c>
      <c r="L84" s="39">
        <v>7.0600000000000002E-6</v>
      </c>
      <c r="M84" s="39">
        <v>8.3405000000000007E-2</v>
      </c>
      <c r="N84" s="39">
        <v>8.5099999999999998E-6</v>
      </c>
      <c r="O84" s="39">
        <v>1.3615E-2</v>
      </c>
      <c r="P84" s="49"/>
    </row>
    <row r="85" spans="4:16">
      <c r="D85" s="47"/>
      <c r="E85" s="39">
        <v>4</v>
      </c>
      <c r="F85" s="39">
        <v>20</v>
      </c>
      <c r="G85" s="39">
        <v>15</v>
      </c>
      <c r="H85" s="39" t="s">
        <v>15</v>
      </c>
      <c r="I85" s="39">
        <v>135.06909999999999</v>
      </c>
      <c r="J85" s="39">
        <v>0.35733999999999999</v>
      </c>
      <c r="K85" s="39">
        <v>7.0314949999999996</v>
      </c>
      <c r="L85" s="39">
        <v>9.8600000000000005E-6</v>
      </c>
      <c r="M85" s="39">
        <v>7.8876000000000002E-2</v>
      </c>
      <c r="N85" s="39">
        <v>3.7200000000000003E-5</v>
      </c>
      <c r="O85" s="39">
        <v>1.3819E-2</v>
      </c>
      <c r="P85" s="49"/>
    </row>
    <row r="86" spans="4:16">
      <c r="D86" s="47"/>
      <c r="E86" s="39">
        <v>4</v>
      </c>
      <c r="F86" s="39">
        <v>20</v>
      </c>
      <c r="G86" s="39">
        <v>16</v>
      </c>
      <c r="H86" s="39" t="s">
        <v>16</v>
      </c>
      <c r="I86" s="39">
        <v>170.3588</v>
      </c>
      <c r="J86" s="39">
        <v>0.36610999999999999</v>
      </c>
      <c r="K86" s="39">
        <v>6.362374</v>
      </c>
      <c r="L86" s="39">
        <v>-4.1999999999999999E-8</v>
      </c>
      <c r="M86" s="39">
        <v>8.4516999999999995E-2</v>
      </c>
      <c r="N86" s="39">
        <v>-5.3000000000000001E-5</v>
      </c>
      <c r="O86" s="39">
        <v>1.0825E-2</v>
      </c>
      <c r="P86" s="49"/>
    </row>
    <row r="87" spans="4:16">
      <c r="D87" s="47"/>
      <c r="E87" s="39">
        <v>4</v>
      </c>
      <c r="F87" s="39">
        <v>20</v>
      </c>
      <c r="G87" s="39">
        <v>17</v>
      </c>
      <c r="H87" s="39" t="s">
        <v>17</v>
      </c>
      <c r="I87" s="39">
        <v>197.00980000000001</v>
      </c>
      <c r="J87" s="39">
        <v>0.39385300000000001</v>
      </c>
      <c r="K87" s="39">
        <v>6.4894150000000002</v>
      </c>
      <c r="L87" s="39">
        <v>-4.0999999999999997E-6</v>
      </c>
      <c r="M87" s="39">
        <v>8.5982000000000003E-2</v>
      </c>
      <c r="N87" s="39">
        <v>1.7000000000000001E-4</v>
      </c>
      <c r="O87" s="39">
        <v>9.3030000000000005E-3</v>
      </c>
      <c r="P87" s="49"/>
    </row>
    <row r="88" spans="4:16">
      <c r="D88" s="47"/>
      <c r="E88" s="39">
        <v>4</v>
      </c>
      <c r="F88" s="39">
        <v>20</v>
      </c>
      <c r="G88" s="39">
        <v>18</v>
      </c>
      <c r="H88" s="39" t="s">
        <v>18</v>
      </c>
      <c r="I88" s="39">
        <v>199.41890000000001</v>
      </c>
      <c r="J88" s="39">
        <v>0.36889899999999998</v>
      </c>
      <c r="K88" s="39">
        <v>5.8747189999999998</v>
      </c>
      <c r="L88" s="39">
        <v>-3.1E-6</v>
      </c>
      <c r="M88" s="39">
        <v>8.2276000000000002E-2</v>
      </c>
      <c r="N88" s="39">
        <v>-1.3999999999999999E-4</v>
      </c>
      <c r="O88" s="39">
        <v>8.9820000000000004E-3</v>
      </c>
      <c r="P88" s="49"/>
    </row>
    <row r="89" spans="4:16">
      <c r="D89" s="47"/>
      <c r="E89" s="39">
        <v>4</v>
      </c>
      <c r="F89" s="39">
        <v>20</v>
      </c>
      <c r="G89" s="39">
        <v>19</v>
      </c>
      <c r="H89" s="39" t="s">
        <v>19</v>
      </c>
      <c r="I89" s="39">
        <v>227.15950000000001</v>
      </c>
      <c r="J89" s="39">
        <v>0.37254900000000002</v>
      </c>
      <c r="K89" s="39">
        <v>5.8713470000000001</v>
      </c>
      <c r="L89" s="39">
        <v>-4.0999999999999997E-6</v>
      </c>
      <c r="M89" s="39">
        <v>8.1962999999999994E-2</v>
      </c>
      <c r="N89" s="39">
        <v>-1.2E-4</v>
      </c>
      <c r="O89" s="39">
        <v>7.8270000000000006E-3</v>
      </c>
      <c r="P89" s="49"/>
    </row>
    <row r="90" spans="4:16">
      <c r="D90" s="47"/>
      <c r="E90" s="39">
        <v>4</v>
      </c>
      <c r="F90" s="39">
        <v>20</v>
      </c>
      <c r="G90" s="39">
        <v>20</v>
      </c>
      <c r="H90" s="39" t="s">
        <v>20</v>
      </c>
      <c r="I90" s="39">
        <v>233.9273</v>
      </c>
      <c r="J90" s="39">
        <v>0.359344</v>
      </c>
      <c r="K90" s="39">
        <v>5.6427490000000002</v>
      </c>
      <c r="L90" s="39">
        <v>-2.7999999999999999E-6</v>
      </c>
      <c r="M90" s="39">
        <v>8.0346000000000001E-2</v>
      </c>
      <c r="N90" s="39">
        <v>-1.9000000000000001E-4</v>
      </c>
      <c r="O90" s="39">
        <v>7.639E-3</v>
      </c>
      <c r="P90" s="49"/>
    </row>
    <row r="91" spans="4:16">
      <c r="D91" s="47"/>
      <c r="E91" s="50"/>
      <c r="F91" s="50"/>
      <c r="G91" s="50"/>
      <c r="H91" s="50"/>
      <c r="I91" s="50"/>
      <c r="J91" s="50"/>
      <c r="K91" s="50"/>
      <c r="L91" s="50"/>
      <c r="M91" s="50"/>
      <c r="N91" s="50"/>
      <c r="O91" s="50"/>
      <c r="P91" s="49"/>
    </row>
    <row r="92" spans="4:16">
      <c r="D92" s="47"/>
      <c r="E92" s="22" t="s">
        <v>21</v>
      </c>
      <c r="F92" s="22" t="s">
        <v>22</v>
      </c>
      <c r="G92" s="22"/>
      <c r="H92" s="22" t="s">
        <v>13</v>
      </c>
      <c r="I92" s="22" t="s">
        <v>27</v>
      </c>
      <c r="J92" s="22" t="s">
        <v>28</v>
      </c>
      <c r="K92" s="22" t="s">
        <v>29</v>
      </c>
      <c r="L92" s="22" t="s">
        <v>30</v>
      </c>
      <c r="M92" s="22" t="s">
        <v>31</v>
      </c>
      <c r="N92" s="22" t="s">
        <v>32</v>
      </c>
      <c r="O92" s="22" t="s">
        <v>33</v>
      </c>
      <c r="P92" s="49"/>
    </row>
    <row r="93" spans="4:16">
      <c r="D93" s="47"/>
      <c r="E93" s="39">
        <v>4</v>
      </c>
      <c r="F93" s="39">
        <v>120</v>
      </c>
      <c r="G93" s="39">
        <v>1</v>
      </c>
      <c r="H93" s="39" t="s">
        <v>0</v>
      </c>
      <c r="I93" s="39">
        <v>21.783750000000001</v>
      </c>
      <c r="J93" s="39">
        <v>0.67814399999999997</v>
      </c>
      <c r="K93" s="39">
        <v>8.7012789999999995</v>
      </c>
      <c r="L93" s="39">
        <v>1.73E-5</v>
      </c>
      <c r="M93" s="39">
        <v>2.9765E-2</v>
      </c>
      <c r="N93" s="39">
        <v>7.3200000000000001E-4</v>
      </c>
      <c r="O93" s="39">
        <v>5.7671E-2</v>
      </c>
      <c r="P93" s="49"/>
    </row>
    <row r="94" spans="4:16">
      <c r="D94" s="47"/>
      <c r="E94" s="39">
        <v>4</v>
      </c>
      <c r="F94" s="39">
        <v>120</v>
      </c>
      <c r="G94" s="39">
        <v>2</v>
      </c>
      <c r="H94" s="39" t="s">
        <v>1</v>
      </c>
      <c r="I94" s="39">
        <v>28.79335</v>
      </c>
      <c r="J94" s="39">
        <v>0.685639</v>
      </c>
      <c r="K94" s="39">
        <v>9.9902580000000007</v>
      </c>
      <c r="L94" s="39">
        <v>1.2799999999999999E-5</v>
      </c>
      <c r="M94" s="39">
        <v>2.7607E-2</v>
      </c>
      <c r="N94" s="39">
        <v>8.6499999999999999E-4</v>
      </c>
      <c r="O94" s="39">
        <v>4.5123999999999997E-2</v>
      </c>
      <c r="P94" s="49"/>
    </row>
    <row r="95" spans="4:16">
      <c r="D95" s="47"/>
      <c r="E95" s="39">
        <v>4</v>
      </c>
      <c r="F95" s="39">
        <v>120</v>
      </c>
      <c r="G95" s="39">
        <v>3</v>
      </c>
      <c r="H95" s="39" t="s">
        <v>2</v>
      </c>
      <c r="I95" s="39">
        <v>37.527769999999997</v>
      </c>
      <c r="J95" s="39">
        <v>0.71086400000000005</v>
      </c>
      <c r="K95" s="39">
        <v>10.52145</v>
      </c>
      <c r="L95" s="39">
        <v>9.4399999999999994E-6</v>
      </c>
      <c r="M95" s="39">
        <v>2.4393000000000001E-2</v>
      </c>
      <c r="N95" s="39">
        <v>9.5500000000000001E-4</v>
      </c>
      <c r="O95" s="39">
        <v>3.3158E-2</v>
      </c>
      <c r="P95" s="49"/>
    </row>
    <row r="96" spans="4:16">
      <c r="D96" s="47"/>
      <c r="E96" s="39">
        <v>4</v>
      </c>
      <c r="F96" s="39">
        <v>120</v>
      </c>
      <c r="G96" s="39">
        <v>4</v>
      </c>
      <c r="H96" s="39" t="s">
        <v>3</v>
      </c>
      <c r="I96" s="39">
        <v>32.561909999999997</v>
      </c>
      <c r="J96" s="39">
        <v>0.65499700000000005</v>
      </c>
      <c r="K96" s="39">
        <v>7.9934589999999996</v>
      </c>
      <c r="L96" s="39">
        <v>1.13E-5</v>
      </c>
      <c r="M96" s="39">
        <v>3.8859999999999999E-2</v>
      </c>
      <c r="N96" s="39">
        <v>2.4290000000000002E-3</v>
      </c>
      <c r="O96" s="39">
        <v>5.3304999999999998E-2</v>
      </c>
      <c r="P96" s="49"/>
    </row>
    <row r="97" spans="4:16">
      <c r="D97" s="47"/>
      <c r="E97" s="39">
        <v>4</v>
      </c>
      <c r="F97" s="39">
        <v>120</v>
      </c>
      <c r="G97" s="39">
        <v>5</v>
      </c>
      <c r="H97" s="39" t="s">
        <v>4</v>
      </c>
      <c r="I97" s="39">
        <v>35.920780000000001</v>
      </c>
      <c r="J97" s="39">
        <v>0.69550299999999998</v>
      </c>
      <c r="K97" s="39">
        <v>6.9777399999999998</v>
      </c>
      <c r="L97" s="39">
        <v>1.3200000000000001E-5</v>
      </c>
      <c r="M97" s="39">
        <v>3.4346000000000002E-2</v>
      </c>
      <c r="N97" s="39">
        <v>2.0430000000000001E-3</v>
      </c>
      <c r="O97" s="39">
        <v>2.6956000000000001E-2</v>
      </c>
      <c r="P97" s="49"/>
    </row>
    <row r="98" spans="4:16">
      <c r="D98" s="47"/>
      <c r="E98" s="39">
        <v>4</v>
      </c>
      <c r="F98" s="39">
        <v>120</v>
      </c>
      <c r="G98" s="39">
        <v>6</v>
      </c>
      <c r="H98" s="39" t="s">
        <v>5</v>
      </c>
      <c r="I98" s="39">
        <v>45.38908</v>
      </c>
      <c r="J98" s="39">
        <v>0.676261</v>
      </c>
      <c r="K98" s="39">
        <v>5.7630520000000001</v>
      </c>
      <c r="L98" s="39">
        <v>1.7799999999999999E-5</v>
      </c>
      <c r="M98" s="39">
        <v>4.0911000000000003E-2</v>
      </c>
      <c r="N98" s="39">
        <v>1.884E-3</v>
      </c>
      <c r="O98" s="39">
        <v>3.3457000000000001E-2</v>
      </c>
      <c r="P98" s="49"/>
    </row>
    <row r="99" spans="4:16">
      <c r="D99" s="47"/>
      <c r="E99" s="39">
        <v>4</v>
      </c>
      <c r="F99" s="39">
        <v>120</v>
      </c>
      <c r="G99" s="39">
        <v>7</v>
      </c>
      <c r="H99" s="39" t="s">
        <v>6</v>
      </c>
      <c r="I99" s="39">
        <v>52.335850000000001</v>
      </c>
      <c r="J99" s="39">
        <v>0.626162</v>
      </c>
      <c r="K99" s="39">
        <v>8.1307089999999995</v>
      </c>
      <c r="L99" s="39">
        <v>1.1600000000000001E-5</v>
      </c>
      <c r="M99" s="39">
        <v>3.5909000000000003E-2</v>
      </c>
      <c r="N99" s="39">
        <v>1.7780000000000001E-3</v>
      </c>
      <c r="O99" s="39">
        <v>2.9485999999999998E-2</v>
      </c>
      <c r="P99" s="49"/>
    </row>
    <row r="100" spans="4:16">
      <c r="D100" s="47"/>
      <c r="E100" s="39">
        <v>4</v>
      </c>
      <c r="F100" s="39">
        <v>120</v>
      </c>
      <c r="G100" s="39">
        <v>8</v>
      </c>
      <c r="H100" s="39" t="s">
        <v>7</v>
      </c>
      <c r="I100" s="39">
        <v>70.619600000000005</v>
      </c>
      <c r="J100" s="39">
        <v>0.40698499999999999</v>
      </c>
      <c r="K100" s="39">
        <v>9.0733639999999998</v>
      </c>
      <c r="L100" s="39">
        <v>9.7599999999999997E-6</v>
      </c>
      <c r="M100" s="39">
        <v>7.2418999999999997E-2</v>
      </c>
      <c r="N100" s="39">
        <v>3.6200000000000002E-4</v>
      </c>
      <c r="O100" s="39">
        <v>2.5295000000000002E-2</v>
      </c>
      <c r="P100" s="49"/>
    </row>
    <row r="101" spans="4:16">
      <c r="D101" s="47"/>
      <c r="E101" s="39">
        <v>4</v>
      </c>
      <c r="F101" s="39">
        <v>120</v>
      </c>
      <c r="G101" s="39">
        <v>9</v>
      </c>
      <c r="H101" s="39" t="s">
        <v>8</v>
      </c>
      <c r="I101" s="39">
        <v>108.45</v>
      </c>
      <c r="J101" s="39">
        <v>0.577681</v>
      </c>
      <c r="K101" s="39">
        <v>7.3624340000000004</v>
      </c>
      <c r="L101" s="39">
        <v>-4.5000000000000001E-6</v>
      </c>
      <c r="M101" s="39">
        <v>6.1631999999999999E-2</v>
      </c>
      <c r="N101" s="39">
        <v>8.9899999999999995E-4</v>
      </c>
      <c r="O101" s="39">
        <v>1.5528E-2</v>
      </c>
      <c r="P101" s="49"/>
    </row>
    <row r="102" spans="4:16">
      <c r="D102" s="47"/>
      <c r="E102" s="39">
        <v>4</v>
      </c>
      <c r="F102" s="39">
        <v>120</v>
      </c>
      <c r="G102" s="39">
        <v>10</v>
      </c>
      <c r="H102" s="39" t="s">
        <v>9</v>
      </c>
      <c r="I102" s="39">
        <v>93.67407</v>
      </c>
      <c r="J102" s="39">
        <v>0.356962</v>
      </c>
      <c r="K102" s="39">
        <v>8.7853259999999995</v>
      </c>
      <c r="L102" s="39">
        <v>1.52E-5</v>
      </c>
      <c r="M102" s="39">
        <v>8.1087999999999993E-2</v>
      </c>
      <c r="N102" s="39">
        <v>2.4499999999999999E-4</v>
      </c>
      <c r="O102" s="39">
        <v>2.1264000000000002E-2</v>
      </c>
      <c r="P102" s="49"/>
    </row>
    <row r="103" spans="4:16">
      <c r="D103" s="47"/>
      <c r="E103" s="39">
        <v>4</v>
      </c>
      <c r="F103" s="39">
        <v>120</v>
      </c>
      <c r="G103" s="39">
        <v>11</v>
      </c>
      <c r="H103" s="39" t="s">
        <v>10</v>
      </c>
      <c r="I103" s="39">
        <v>104.0333</v>
      </c>
      <c r="J103" s="39">
        <v>0.39164500000000002</v>
      </c>
      <c r="K103" s="39">
        <v>8.0652659999999994</v>
      </c>
      <c r="L103" s="39">
        <v>1.17E-5</v>
      </c>
      <c r="M103" s="39">
        <v>7.8760999999999998E-2</v>
      </c>
      <c r="N103" s="39">
        <v>2.8600000000000001E-4</v>
      </c>
      <c r="O103" s="39">
        <v>1.7668E-2</v>
      </c>
      <c r="P103" s="49"/>
    </row>
    <row r="104" spans="4:16">
      <c r="D104" s="47"/>
      <c r="E104" s="39">
        <v>4</v>
      </c>
      <c r="F104" s="39">
        <v>120</v>
      </c>
      <c r="G104" s="39">
        <v>12</v>
      </c>
      <c r="H104" s="39" t="s">
        <v>11</v>
      </c>
      <c r="I104" s="39">
        <v>113.4547</v>
      </c>
      <c r="J104" s="39">
        <v>0.39773700000000001</v>
      </c>
      <c r="K104" s="39">
        <v>7.535838</v>
      </c>
      <c r="L104" s="39">
        <v>9.0000000000000002E-6</v>
      </c>
      <c r="M104" s="39">
        <v>7.9532000000000005E-2</v>
      </c>
      <c r="N104" s="39">
        <v>2.2000000000000001E-4</v>
      </c>
      <c r="O104" s="39">
        <v>1.6145E-2</v>
      </c>
      <c r="P104" s="49"/>
    </row>
    <row r="105" spans="4:16">
      <c r="D105" s="47"/>
      <c r="E105" s="39">
        <v>4</v>
      </c>
      <c r="F105" s="39">
        <v>120</v>
      </c>
      <c r="G105" s="39">
        <v>13</v>
      </c>
      <c r="H105" s="39" t="s">
        <v>12</v>
      </c>
      <c r="I105" s="39">
        <v>123.48860000000001</v>
      </c>
      <c r="J105" s="39">
        <v>0.37206</v>
      </c>
      <c r="K105" s="39">
        <v>6.7110329999999996</v>
      </c>
      <c r="L105" s="39">
        <v>1.19E-5</v>
      </c>
      <c r="M105" s="39">
        <v>7.2960999999999998E-2</v>
      </c>
      <c r="N105" s="39">
        <v>5.0000000000000004E-6</v>
      </c>
      <c r="O105" s="39">
        <v>1.5069000000000001E-2</v>
      </c>
      <c r="P105" s="49"/>
    </row>
    <row r="106" spans="4:16">
      <c r="D106" s="47"/>
      <c r="E106" s="39">
        <v>4</v>
      </c>
      <c r="F106" s="39">
        <v>120</v>
      </c>
      <c r="G106" s="39">
        <v>14</v>
      </c>
      <c r="H106" s="39" t="s">
        <v>14</v>
      </c>
      <c r="I106" s="39">
        <v>137.3535</v>
      </c>
      <c r="J106" s="39">
        <v>0.354016</v>
      </c>
      <c r="K106" s="39">
        <v>6.9240069999999996</v>
      </c>
      <c r="L106" s="39">
        <v>8.5399999999999996E-6</v>
      </c>
      <c r="M106" s="39">
        <v>8.1304000000000001E-2</v>
      </c>
      <c r="N106" s="39">
        <v>6.5199999999999999E-5</v>
      </c>
      <c r="O106" s="39">
        <v>1.3544E-2</v>
      </c>
      <c r="P106" s="49"/>
    </row>
    <row r="107" spans="4:16">
      <c r="D107" s="47"/>
      <c r="E107" s="39">
        <v>4</v>
      </c>
      <c r="F107" s="39">
        <v>120</v>
      </c>
      <c r="G107" s="39">
        <v>15</v>
      </c>
      <c r="H107" s="39" t="s">
        <v>15</v>
      </c>
      <c r="I107" s="39">
        <v>135.90430000000001</v>
      </c>
      <c r="J107" s="39">
        <v>0.36141899999999999</v>
      </c>
      <c r="K107" s="39">
        <v>6.825939</v>
      </c>
      <c r="L107" s="39">
        <v>1.0499999999999999E-5</v>
      </c>
      <c r="M107" s="39">
        <v>7.7203999999999995E-2</v>
      </c>
      <c r="N107" s="39">
        <v>9.1000000000000003E-5</v>
      </c>
      <c r="O107" s="39">
        <v>1.3802999999999999E-2</v>
      </c>
      <c r="P107" s="49"/>
    </row>
    <row r="108" spans="4:16">
      <c r="D108" s="47"/>
      <c r="E108" s="39">
        <v>4</v>
      </c>
      <c r="F108" s="39">
        <v>120</v>
      </c>
      <c r="G108" s="39">
        <v>16</v>
      </c>
      <c r="H108" s="39" t="s">
        <v>16</v>
      </c>
      <c r="I108" s="39">
        <v>173.2381</v>
      </c>
      <c r="J108" s="39">
        <v>0.35888700000000001</v>
      </c>
      <c r="K108" s="39">
        <v>6.2038390000000003</v>
      </c>
      <c r="L108" s="39">
        <v>2.04E-6</v>
      </c>
      <c r="M108" s="39">
        <v>8.2041000000000003E-2</v>
      </c>
      <c r="N108" s="39">
        <v>5.2000000000000002E-6</v>
      </c>
      <c r="O108" s="39">
        <v>1.0723E-2</v>
      </c>
      <c r="P108" s="49"/>
    </row>
    <row r="109" spans="4:16">
      <c r="D109" s="47"/>
      <c r="E109" s="39">
        <v>4</v>
      </c>
      <c r="F109" s="39">
        <v>120</v>
      </c>
      <c r="G109" s="39">
        <v>17</v>
      </c>
      <c r="H109" s="39" t="s">
        <v>17</v>
      </c>
      <c r="I109" s="39">
        <v>200.40600000000001</v>
      </c>
      <c r="J109" s="39">
        <v>0.38849400000000001</v>
      </c>
      <c r="K109" s="39">
        <v>6.2801629999999999</v>
      </c>
      <c r="L109" s="39">
        <v>-2.9000000000000002E-6</v>
      </c>
      <c r="M109" s="39">
        <v>8.3660999999999999E-2</v>
      </c>
      <c r="N109" s="39">
        <v>2.1100000000000001E-4</v>
      </c>
      <c r="O109" s="39">
        <v>9.2110000000000004E-3</v>
      </c>
      <c r="P109" s="49"/>
    </row>
    <row r="110" spans="4:16">
      <c r="D110" s="47"/>
      <c r="E110" s="39">
        <v>4</v>
      </c>
      <c r="F110" s="39">
        <v>120</v>
      </c>
      <c r="G110" s="39">
        <v>18</v>
      </c>
      <c r="H110" s="39" t="s">
        <v>18</v>
      </c>
      <c r="I110" s="39">
        <v>202.3999</v>
      </c>
      <c r="J110" s="39">
        <v>0.36824099999999999</v>
      </c>
      <c r="K110" s="39">
        <v>5.6222750000000001</v>
      </c>
      <c r="L110" s="39">
        <v>-2.6000000000000001E-6</v>
      </c>
      <c r="M110" s="39">
        <v>8.0238000000000004E-2</v>
      </c>
      <c r="N110" s="39">
        <v>-9.7999999999999997E-5</v>
      </c>
      <c r="O110" s="39">
        <v>8.9040000000000005E-3</v>
      </c>
      <c r="P110" s="49"/>
    </row>
    <row r="111" spans="4:16">
      <c r="D111" s="47"/>
      <c r="E111" s="39">
        <v>4</v>
      </c>
      <c r="F111" s="39">
        <v>120</v>
      </c>
      <c r="G111" s="39">
        <v>19</v>
      </c>
      <c r="H111" s="39" t="s">
        <v>19</v>
      </c>
      <c r="I111" s="39">
        <v>230.3998</v>
      </c>
      <c r="J111" s="39">
        <v>0.37451299999999998</v>
      </c>
      <c r="K111" s="39">
        <v>5.5771949999999997</v>
      </c>
      <c r="L111" s="39">
        <v>-4.4000000000000002E-6</v>
      </c>
      <c r="M111" s="39">
        <v>8.0046000000000006E-2</v>
      </c>
      <c r="N111" s="39">
        <v>-8.2999999999999998E-5</v>
      </c>
      <c r="O111" s="39">
        <v>7.7650000000000002E-3</v>
      </c>
      <c r="P111" s="49"/>
    </row>
    <row r="112" spans="4:16">
      <c r="D112" s="47"/>
      <c r="E112" s="39">
        <v>4</v>
      </c>
      <c r="F112" s="39">
        <v>120</v>
      </c>
      <c r="G112" s="39">
        <v>20</v>
      </c>
      <c r="H112" s="39" t="s">
        <v>20</v>
      </c>
      <c r="I112" s="39">
        <v>237.07550000000001</v>
      </c>
      <c r="J112" s="39">
        <v>0.36048400000000003</v>
      </c>
      <c r="K112" s="39">
        <v>5.3775190000000004</v>
      </c>
      <c r="L112" s="39">
        <v>-2.7E-6</v>
      </c>
      <c r="M112" s="39">
        <v>7.8521999999999995E-2</v>
      </c>
      <c r="N112" s="39">
        <v>-1.4999999999999999E-4</v>
      </c>
      <c r="O112" s="39">
        <v>7.5849999999999997E-3</v>
      </c>
      <c r="P112" s="49"/>
    </row>
    <row r="113" spans="4:16">
      <c r="D113" s="47"/>
      <c r="E113" s="50"/>
      <c r="F113" s="50"/>
      <c r="G113" s="50"/>
      <c r="H113" s="50"/>
      <c r="I113" s="50"/>
      <c r="J113" s="50"/>
      <c r="K113" s="50"/>
      <c r="L113" s="50"/>
      <c r="M113" s="50"/>
      <c r="N113" s="50"/>
      <c r="O113" s="50"/>
      <c r="P113" s="49"/>
    </row>
    <row r="114" spans="4:16">
      <c r="D114" s="47"/>
      <c r="E114" s="22" t="s">
        <v>21</v>
      </c>
      <c r="F114" s="22" t="s">
        <v>22</v>
      </c>
      <c r="G114" s="22"/>
      <c r="H114" s="22" t="s">
        <v>13</v>
      </c>
      <c r="I114" s="22" t="s">
        <v>27</v>
      </c>
      <c r="J114" s="22" t="s">
        <v>28</v>
      </c>
      <c r="K114" s="22" t="s">
        <v>29</v>
      </c>
      <c r="L114" s="22" t="s">
        <v>30</v>
      </c>
      <c r="M114" s="22" t="s">
        <v>31</v>
      </c>
      <c r="N114" s="22" t="s">
        <v>32</v>
      </c>
      <c r="O114" s="22" t="s">
        <v>33</v>
      </c>
      <c r="P114" s="49"/>
    </row>
    <row r="115" spans="4:16">
      <c r="D115" s="47"/>
      <c r="E115" s="39">
        <v>4</v>
      </c>
      <c r="F115" s="39">
        <v>300</v>
      </c>
      <c r="G115" s="39">
        <v>1</v>
      </c>
      <c r="H115" s="39" t="s">
        <v>0</v>
      </c>
      <c r="I115" s="39">
        <v>21.839549999999999</v>
      </c>
      <c r="J115" s="39">
        <v>0.67650999999999994</v>
      </c>
      <c r="K115" s="39">
        <v>8.3685159999999996</v>
      </c>
      <c r="L115" s="39">
        <v>1.6500000000000001E-5</v>
      </c>
      <c r="M115" s="39">
        <v>3.0691E-2</v>
      </c>
      <c r="N115" s="39">
        <v>6.4599999999999998E-4</v>
      </c>
      <c r="O115" s="39">
        <v>6.6877000000000006E-2</v>
      </c>
      <c r="P115" s="49"/>
    </row>
    <row r="116" spans="4:16">
      <c r="D116" s="47"/>
      <c r="E116" s="39">
        <v>4</v>
      </c>
      <c r="F116" s="39">
        <v>300</v>
      </c>
      <c r="G116" s="39">
        <v>2</v>
      </c>
      <c r="H116" s="39" t="s">
        <v>1</v>
      </c>
      <c r="I116" s="39">
        <v>28.91282</v>
      </c>
      <c r="J116" s="39">
        <v>0.68420800000000004</v>
      </c>
      <c r="K116" s="39">
        <v>9.5814050000000002</v>
      </c>
      <c r="L116" s="39">
        <v>1.1600000000000001E-5</v>
      </c>
      <c r="M116" s="39">
        <v>2.8669E-2</v>
      </c>
      <c r="N116" s="39">
        <v>7.6300000000000001E-4</v>
      </c>
      <c r="O116" s="39">
        <v>5.3384000000000001E-2</v>
      </c>
      <c r="P116" s="49"/>
    </row>
    <row r="117" spans="4:16">
      <c r="D117" s="47"/>
      <c r="E117" s="39">
        <v>4</v>
      </c>
      <c r="F117" s="39">
        <v>300</v>
      </c>
      <c r="G117" s="39">
        <v>3</v>
      </c>
      <c r="H117" s="39" t="s">
        <v>2</v>
      </c>
      <c r="I117" s="39">
        <v>37.791510000000002</v>
      </c>
      <c r="J117" s="39">
        <v>0.708847</v>
      </c>
      <c r="K117" s="39">
        <v>10.03177</v>
      </c>
      <c r="L117" s="39">
        <v>7.9899999999999997E-6</v>
      </c>
      <c r="M117" s="39">
        <v>2.5576000000000002E-2</v>
      </c>
      <c r="N117" s="39">
        <v>8.34E-4</v>
      </c>
      <c r="O117" s="39">
        <v>4.0301999999999998E-2</v>
      </c>
      <c r="P117" s="49"/>
    </row>
    <row r="118" spans="4:16">
      <c r="D118" s="47"/>
      <c r="E118" s="39">
        <v>4</v>
      </c>
      <c r="F118" s="39">
        <v>300</v>
      </c>
      <c r="G118" s="39">
        <v>4</v>
      </c>
      <c r="H118" s="39" t="s">
        <v>3</v>
      </c>
      <c r="I118" s="39">
        <v>32.712240000000001</v>
      </c>
      <c r="J118" s="39">
        <v>0.63667499999999999</v>
      </c>
      <c r="K118" s="39">
        <v>7.8538930000000002</v>
      </c>
      <c r="L118" s="39">
        <v>1.29E-5</v>
      </c>
      <c r="M118" s="39">
        <v>3.9884999999999997E-2</v>
      </c>
      <c r="N118" s="39">
        <v>2.3180000000000002E-3</v>
      </c>
      <c r="O118" s="39">
        <v>6.1080000000000002E-2</v>
      </c>
      <c r="P118" s="49"/>
    </row>
    <row r="119" spans="4:16">
      <c r="D119" s="47"/>
      <c r="E119" s="39">
        <v>4</v>
      </c>
      <c r="F119" s="39">
        <v>300</v>
      </c>
      <c r="G119" s="39">
        <v>5</v>
      </c>
      <c r="H119" s="39" t="s">
        <v>4</v>
      </c>
      <c r="I119" s="39">
        <v>36.136879999999998</v>
      </c>
      <c r="J119" s="39">
        <v>0.67245999999999995</v>
      </c>
      <c r="K119" s="39">
        <v>6.971711</v>
      </c>
      <c r="L119" s="39">
        <v>1.6399999999999999E-5</v>
      </c>
      <c r="M119" s="39">
        <v>3.4999000000000002E-2</v>
      </c>
      <c r="N119" s="39">
        <v>1.9580000000000001E-3</v>
      </c>
      <c r="O119" s="39">
        <v>3.2128999999999998E-2</v>
      </c>
      <c r="P119" s="49"/>
    </row>
    <row r="120" spans="4:16">
      <c r="D120" s="47"/>
      <c r="E120" s="39">
        <v>4</v>
      </c>
      <c r="F120" s="39">
        <v>300</v>
      </c>
      <c r="G120" s="39">
        <v>6</v>
      </c>
      <c r="H120" s="39" t="s">
        <v>5</v>
      </c>
      <c r="I120" s="39">
        <v>45.449680000000001</v>
      </c>
      <c r="J120" s="39">
        <v>0.68148200000000003</v>
      </c>
      <c r="K120" s="39">
        <v>5.4367700000000001</v>
      </c>
      <c r="L120" s="39">
        <v>1.6500000000000001E-5</v>
      </c>
      <c r="M120" s="39">
        <v>4.1368000000000002E-2</v>
      </c>
      <c r="N120" s="39">
        <v>1.8320000000000001E-3</v>
      </c>
      <c r="O120" s="39">
        <v>3.5492000000000003E-2</v>
      </c>
      <c r="P120" s="49"/>
    </row>
    <row r="121" spans="4:16">
      <c r="D121" s="47"/>
      <c r="E121" s="39">
        <v>4</v>
      </c>
      <c r="F121" s="39">
        <v>300</v>
      </c>
      <c r="G121" s="39">
        <v>7</v>
      </c>
      <c r="H121" s="39" t="s">
        <v>6</v>
      </c>
      <c r="I121" s="39">
        <v>52.663849999999996</v>
      </c>
      <c r="J121" s="39">
        <v>0.62790800000000002</v>
      </c>
      <c r="K121" s="39">
        <v>7.6423230000000002</v>
      </c>
      <c r="L121" s="39">
        <v>1.2300000000000001E-5</v>
      </c>
      <c r="M121" s="39">
        <v>3.6157000000000002E-2</v>
      </c>
      <c r="N121" s="39">
        <v>1.6930000000000001E-3</v>
      </c>
      <c r="O121" s="39">
        <v>3.0682000000000001E-2</v>
      </c>
      <c r="P121" s="49"/>
    </row>
    <row r="122" spans="4:16">
      <c r="D122" s="47"/>
      <c r="E122" s="39">
        <v>4</v>
      </c>
      <c r="F122" s="39">
        <v>300</v>
      </c>
      <c r="G122" s="39">
        <v>8</v>
      </c>
      <c r="H122" s="39" t="s">
        <v>7</v>
      </c>
      <c r="I122" s="39">
        <v>71.345690000000005</v>
      </c>
      <c r="J122" s="39">
        <v>0.41848000000000002</v>
      </c>
      <c r="K122" s="39">
        <v>8.5115010000000009</v>
      </c>
      <c r="L122" s="39">
        <v>9.5999999999999996E-6</v>
      </c>
      <c r="M122" s="39">
        <v>7.1809999999999999E-2</v>
      </c>
      <c r="N122" s="39">
        <v>3.0200000000000002E-4</v>
      </c>
      <c r="O122" s="39">
        <v>2.5287E-2</v>
      </c>
      <c r="P122" s="49"/>
    </row>
    <row r="123" spans="4:16">
      <c r="D123" s="47"/>
      <c r="E123" s="39">
        <v>4</v>
      </c>
      <c r="F123" s="39">
        <v>300</v>
      </c>
      <c r="G123" s="39">
        <v>9</v>
      </c>
      <c r="H123" s="39" t="s">
        <v>8</v>
      </c>
      <c r="I123" s="39">
        <v>111.128</v>
      </c>
      <c r="J123" s="39">
        <v>0.55463399999999996</v>
      </c>
      <c r="K123" s="39">
        <v>7.2166129999999997</v>
      </c>
      <c r="L123" s="39">
        <v>-1.3E-6</v>
      </c>
      <c r="M123" s="39">
        <v>6.0151000000000003E-2</v>
      </c>
      <c r="N123" s="39">
        <v>8.7200000000000005E-4</v>
      </c>
      <c r="O123" s="39">
        <v>1.5511E-2</v>
      </c>
      <c r="P123" s="49"/>
    </row>
    <row r="124" spans="4:16">
      <c r="D124" s="47"/>
      <c r="E124" s="39">
        <v>4</v>
      </c>
      <c r="F124" s="39">
        <v>300</v>
      </c>
      <c r="G124" s="39">
        <v>10</v>
      </c>
      <c r="H124" s="39" t="s">
        <v>9</v>
      </c>
      <c r="I124" s="39">
        <v>94.85839</v>
      </c>
      <c r="J124" s="39">
        <v>0.37460900000000003</v>
      </c>
      <c r="K124" s="39">
        <v>8.1272380000000002</v>
      </c>
      <c r="L124" s="39">
        <v>1.38E-5</v>
      </c>
      <c r="M124" s="39">
        <v>7.9938999999999996E-2</v>
      </c>
      <c r="N124" s="39">
        <v>1.9100000000000001E-4</v>
      </c>
      <c r="O124" s="39">
        <v>2.1131E-2</v>
      </c>
      <c r="P124" s="49"/>
    </row>
    <row r="125" spans="4:16">
      <c r="D125" s="47"/>
      <c r="E125" s="39">
        <v>4</v>
      </c>
      <c r="F125" s="39">
        <v>300</v>
      </c>
      <c r="G125" s="39">
        <v>11</v>
      </c>
      <c r="H125" s="39" t="s">
        <v>10</v>
      </c>
      <c r="I125" s="39">
        <v>105.0509</v>
      </c>
      <c r="J125" s="39">
        <v>0.41828700000000002</v>
      </c>
      <c r="K125" s="39">
        <v>7.2935100000000004</v>
      </c>
      <c r="L125" s="39">
        <v>8.3799999999999994E-6</v>
      </c>
      <c r="M125" s="39">
        <v>7.8037999999999996E-2</v>
      </c>
      <c r="N125" s="39">
        <v>2.1900000000000001E-4</v>
      </c>
      <c r="O125" s="39">
        <v>1.7552999999999999E-2</v>
      </c>
      <c r="P125" s="49"/>
    </row>
    <row r="126" spans="4:16">
      <c r="D126" s="47"/>
      <c r="E126" s="39">
        <v>4</v>
      </c>
      <c r="F126" s="39">
        <v>300</v>
      </c>
      <c r="G126" s="39">
        <v>12</v>
      </c>
      <c r="H126" s="39" t="s">
        <v>11</v>
      </c>
      <c r="I126" s="39">
        <v>114.611</v>
      </c>
      <c r="J126" s="39">
        <v>0.41839500000000002</v>
      </c>
      <c r="K126" s="39">
        <v>6.8684539999999998</v>
      </c>
      <c r="L126" s="39">
        <v>6.8600000000000004E-6</v>
      </c>
      <c r="M126" s="39">
        <v>7.8712000000000004E-2</v>
      </c>
      <c r="N126" s="39">
        <v>1.6200000000000001E-4</v>
      </c>
      <c r="O126" s="39">
        <v>1.6059E-2</v>
      </c>
      <c r="P126" s="49"/>
    </row>
    <row r="127" spans="4:16">
      <c r="D127" s="47"/>
      <c r="E127" s="39">
        <v>4</v>
      </c>
      <c r="F127" s="39">
        <v>300</v>
      </c>
      <c r="G127" s="39">
        <v>13</v>
      </c>
      <c r="H127" s="39" t="s">
        <v>12</v>
      </c>
      <c r="I127" s="39">
        <v>125.3302</v>
      </c>
      <c r="J127" s="39">
        <v>0.368537</v>
      </c>
      <c r="K127" s="39">
        <v>6.482005</v>
      </c>
      <c r="L127" s="39">
        <v>1.56E-5</v>
      </c>
      <c r="M127" s="39">
        <v>7.1479000000000001E-2</v>
      </c>
      <c r="N127" s="39">
        <v>-8.6000000000000007E-6</v>
      </c>
      <c r="O127" s="39">
        <v>1.4917E-2</v>
      </c>
      <c r="P127" s="49"/>
    </row>
    <row r="128" spans="4:16">
      <c r="D128" s="47"/>
      <c r="E128" s="39">
        <v>4</v>
      </c>
      <c r="F128" s="39">
        <v>300</v>
      </c>
      <c r="G128" s="39">
        <v>14</v>
      </c>
      <c r="H128" s="39" t="s">
        <v>14</v>
      </c>
      <c r="I128" s="39">
        <v>140.0574</v>
      </c>
      <c r="J128" s="39">
        <v>0.34842899999999999</v>
      </c>
      <c r="K128" s="39">
        <v>6.6755139999999997</v>
      </c>
      <c r="L128" s="39">
        <v>1.2099999999999999E-5</v>
      </c>
      <c r="M128" s="39">
        <v>7.9379000000000005E-2</v>
      </c>
      <c r="N128" s="39">
        <v>5.0300000000000003E-5</v>
      </c>
      <c r="O128" s="39">
        <v>1.3344E-2</v>
      </c>
      <c r="P128" s="49"/>
    </row>
    <row r="129" spans="4:16">
      <c r="D129" s="47"/>
      <c r="E129" s="39">
        <v>4</v>
      </c>
      <c r="F129" s="39">
        <v>300</v>
      </c>
      <c r="G129" s="39">
        <v>15</v>
      </c>
      <c r="H129" s="39" t="s">
        <v>15</v>
      </c>
      <c r="I129" s="39">
        <v>138.0403</v>
      </c>
      <c r="J129" s="39">
        <v>0.36127399999999998</v>
      </c>
      <c r="K129" s="39">
        <v>6.5305080000000002</v>
      </c>
      <c r="L129" s="39">
        <v>1.34E-5</v>
      </c>
      <c r="M129" s="39">
        <v>7.5656000000000001E-2</v>
      </c>
      <c r="N129" s="39">
        <v>7.1500000000000003E-5</v>
      </c>
      <c r="O129" s="39">
        <v>1.3639999999999999E-2</v>
      </c>
      <c r="P129" s="49"/>
    </row>
    <row r="130" spans="4:16">
      <c r="D130" s="47"/>
      <c r="E130" s="39">
        <v>4</v>
      </c>
      <c r="F130" s="39">
        <v>300</v>
      </c>
      <c r="G130" s="39">
        <v>16</v>
      </c>
      <c r="H130" s="39" t="s">
        <v>16</v>
      </c>
      <c r="I130" s="39">
        <v>177.20150000000001</v>
      </c>
      <c r="J130" s="39">
        <v>0.34513300000000002</v>
      </c>
      <c r="K130" s="39">
        <v>6.0491529999999996</v>
      </c>
      <c r="L130" s="39">
        <v>6.7800000000000003E-6</v>
      </c>
      <c r="M130" s="39">
        <v>7.9958000000000001E-2</v>
      </c>
      <c r="N130" s="39">
        <v>-4.5000000000000001E-6</v>
      </c>
      <c r="O130" s="39">
        <v>1.0557E-2</v>
      </c>
      <c r="P130" s="49"/>
    </row>
    <row r="131" spans="4:16">
      <c r="D131" s="47"/>
      <c r="E131" s="39">
        <v>4</v>
      </c>
      <c r="F131" s="39">
        <v>300</v>
      </c>
      <c r="G131" s="39">
        <v>17</v>
      </c>
      <c r="H131" s="39" t="s">
        <v>17</v>
      </c>
      <c r="I131" s="39">
        <v>204.9486</v>
      </c>
      <c r="J131" s="39">
        <v>0.378299</v>
      </c>
      <c r="K131" s="39">
        <v>6.0517010000000004</v>
      </c>
      <c r="L131" s="39">
        <v>2.9999999999999999E-7</v>
      </c>
      <c r="M131" s="39">
        <v>8.165E-2</v>
      </c>
      <c r="N131" s="39">
        <v>1.94E-4</v>
      </c>
      <c r="O131" s="39">
        <v>9.0699999999999999E-3</v>
      </c>
      <c r="P131" s="49"/>
    </row>
    <row r="132" spans="4:16">
      <c r="D132" s="47"/>
      <c r="E132" s="39">
        <v>4</v>
      </c>
      <c r="F132" s="39">
        <v>300</v>
      </c>
      <c r="G132" s="39">
        <v>18</v>
      </c>
      <c r="H132" s="39" t="s">
        <v>18</v>
      </c>
      <c r="I132" s="39">
        <v>206.22980000000001</v>
      </c>
      <c r="J132" s="39">
        <v>0.36377999999999999</v>
      </c>
      <c r="K132" s="39">
        <v>5.3483099999999997</v>
      </c>
      <c r="L132" s="39">
        <v>-5.4000000000000002E-7</v>
      </c>
      <c r="M132" s="39">
        <v>7.8621999999999997E-2</v>
      </c>
      <c r="N132" s="39">
        <v>-1.1E-4</v>
      </c>
      <c r="O132" s="39">
        <v>8.7950000000000007E-3</v>
      </c>
      <c r="P132" s="49"/>
    </row>
    <row r="133" spans="4:16">
      <c r="D133" s="47"/>
      <c r="E133" s="39">
        <v>4</v>
      </c>
      <c r="F133" s="39">
        <v>300</v>
      </c>
      <c r="G133" s="39">
        <v>19</v>
      </c>
      <c r="H133" s="39" t="s">
        <v>19</v>
      </c>
      <c r="I133" s="39">
        <v>234.38079999999999</v>
      </c>
      <c r="J133" s="39">
        <v>0.37475999999999998</v>
      </c>
      <c r="K133" s="39">
        <v>5.2357950000000004</v>
      </c>
      <c r="L133" s="39">
        <v>-3.8999999999999999E-6</v>
      </c>
      <c r="M133" s="39">
        <v>7.8592999999999996E-2</v>
      </c>
      <c r="N133" s="39">
        <v>-9.6000000000000002E-5</v>
      </c>
      <c r="O133" s="39">
        <v>7.685E-3</v>
      </c>
      <c r="P133" s="49"/>
    </row>
    <row r="134" spans="4:16">
      <c r="D134" s="47"/>
      <c r="E134" s="39">
        <v>4</v>
      </c>
      <c r="F134" s="39">
        <v>300</v>
      </c>
      <c r="G134" s="39">
        <v>20</v>
      </c>
      <c r="H134" s="39" t="s">
        <v>20</v>
      </c>
      <c r="I134" s="39">
        <v>240.91489999999999</v>
      </c>
      <c r="J134" s="39">
        <v>0.35989100000000002</v>
      </c>
      <c r="K134" s="39">
        <v>5.070919</v>
      </c>
      <c r="L134" s="39">
        <v>-1.9E-6</v>
      </c>
      <c r="M134" s="39">
        <v>7.7170000000000002E-2</v>
      </c>
      <c r="N134" s="39">
        <v>-1.6000000000000001E-4</v>
      </c>
      <c r="O134" s="39">
        <v>7.515E-3</v>
      </c>
      <c r="P134" s="49"/>
    </row>
    <row r="135" spans="4:16">
      <c r="D135" s="47"/>
      <c r="E135" s="50"/>
      <c r="F135" s="50"/>
      <c r="G135" s="50"/>
      <c r="H135" s="50"/>
      <c r="I135" s="50"/>
      <c r="J135" s="50"/>
      <c r="K135" s="50"/>
      <c r="L135" s="50"/>
      <c r="M135" s="50"/>
      <c r="N135" s="50"/>
      <c r="O135" s="50"/>
      <c r="P135" s="49"/>
    </row>
    <row r="136" spans="4:16">
      <c r="D136" s="47"/>
      <c r="E136" s="22" t="s">
        <v>21</v>
      </c>
      <c r="F136" s="22" t="s">
        <v>22</v>
      </c>
      <c r="G136" s="22"/>
      <c r="H136" s="22" t="s">
        <v>13</v>
      </c>
      <c r="I136" s="22" t="s">
        <v>27</v>
      </c>
      <c r="J136" s="22" t="s">
        <v>28</v>
      </c>
      <c r="K136" s="22" t="s">
        <v>29</v>
      </c>
      <c r="L136" s="22" t="s">
        <v>30</v>
      </c>
      <c r="M136" s="22" t="s">
        <v>31</v>
      </c>
      <c r="N136" s="22" t="s">
        <v>32</v>
      </c>
      <c r="O136" s="22" t="s">
        <v>33</v>
      </c>
      <c r="P136" s="49"/>
    </row>
    <row r="137" spans="4:16">
      <c r="D137" s="47"/>
      <c r="E137" s="39">
        <v>6</v>
      </c>
      <c r="F137" s="39">
        <v>20</v>
      </c>
      <c r="G137" s="39">
        <v>1</v>
      </c>
      <c r="H137" s="39" t="s">
        <v>0</v>
      </c>
      <c r="I137" s="39">
        <v>21.999040000000001</v>
      </c>
      <c r="J137" s="39">
        <v>0.66467299999999996</v>
      </c>
      <c r="K137" s="39">
        <v>8.6861309999999996</v>
      </c>
      <c r="L137" s="39">
        <v>1.6200000000000001E-5</v>
      </c>
      <c r="M137" s="39">
        <v>2.8962000000000002E-2</v>
      </c>
      <c r="N137" s="39">
        <v>7.5699999999999997E-4</v>
      </c>
      <c r="O137" s="39">
        <v>8.1558000000000005E-2</v>
      </c>
      <c r="P137" s="49"/>
    </row>
    <row r="138" spans="4:16">
      <c r="D138" s="47"/>
      <c r="E138" s="39">
        <v>6</v>
      </c>
      <c r="F138" s="39">
        <v>20</v>
      </c>
      <c r="G138" s="39">
        <v>2</v>
      </c>
      <c r="H138" s="39" t="s">
        <v>1</v>
      </c>
      <c r="I138" s="39">
        <v>29.084160000000001</v>
      </c>
      <c r="J138" s="39">
        <v>0.67019300000000004</v>
      </c>
      <c r="K138" s="39">
        <v>9.9963270000000009</v>
      </c>
      <c r="L138" s="39">
        <v>1.17E-5</v>
      </c>
      <c r="M138" s="39">
        <v>2.7050000000000001E-2</v>
      </c>
      <c r="N138" s="39">
        <v>8.6799999999999996E-4</v>
      </c>
      <c r="O138" s="39">
        <v>6.6379999999999995E-2</v>
      </c>
      <c r="P138" s="49"/>
    </row>
    <row r="139" spans="4:16">
      <c r="D139" s="47"/>
      <c r="E139" s="39">
        <v>6</v>
      </c>
      <c r="F139" s="39">
        <v>20</v>
      </c>
      <c r="G139" s="39">
        <v>3</v>
      </c>
      <c r="H139" s="39" t="s">
        <v>2</v>
      </c>
      <c r="I139" s="39">
        <v>37.928199999999997</v>
      </c>
      <c r="J139" s="39">
        <v>0.701291</v>
      </c>
      <c r="K139" s="39">
        <v>10.403969999999999</v>
      </c>
      <c r="L139" s="39">
        <v>8.85E-6</v>
      </c>
      <c r="M139" s="39">
        <v>2.4018000000000001E-2</v>
      </c>
      <c r="N139" s="39">
        <v>9.5699999999999995E-4</v>
      </c>
      <c r="O139" s="39">
        <v>4.5477999999999998E-2</v>
      </c>
      <c r="P139" s="49"/>
    </row>
    <row r="140" spans="4:16">
      <c r="D140" s="47"/>
      <c r="E140" s="39">
        <v>6</v>
      </c>
      <c r="F140" s="39">
        <v>20</v>
      </c>
      <c r="G140" s="39">
        <v>4</v>
      </c>
      <c r="H140" s="39" t="s">
        <v>3</v>
      </c>
      <c r="I140" s="39">
        <v>33.279110000000003</v>
      </c>
      <c r="J140" s="39">
        <v>0.66287200000000002</v>
      </c>
      <c r="K140" s="39">
        <v>7.0269450000000004</v>
      </c>
      <c r="L140" s="39">
        <v>3.19E-6</v>
      </c>
      <c r="M140" s="39">
        <v>3.8163000000000002E-2</v>
      </c>
      <c r="N140" s="39">
        <v>2.3930000000000002E-3</v>
      </c>
      <c r="O140" s="39">
        <v>9.0493000000000004E-2</v>
      </c>
      <c r="P140" s="49"/>
    </row>
    <row r="141" spans="4:16">
      <c r="D141" s="47"/>
      <c r="E141" s="39">
        <v>6</v>
      </c>
      <c r="F141" s="39">
        <v>20</v>
      </c>
      <c r="G141" s="39">
        <v>5</v>
      </c>
      <c r="H141" s="39" t="s">
        <v>4</v>
      </c>
      <c r="I141" s="39">
        <v>36.530439999999999</v>
      </c>
      <c r="J141" s="39">
        <v>0.66879500000000003</v>
      </c>
      <c r="K141" s="39">
        <v>7.0050410000000003</v>
      </c>
      <c r="L141" s="39">
        <v>9.4499999999999993E-6</v>
      </c>
      <c r="M141" s="39">
        <v>3.2973000000000002E-2</v>
      </c>
      <c r="N141" s="39">
        <v>2.0430000000000001E-3</v>
      </c>
      <c r="O141" s="39">
        <v>5.1212000000000001E-2</v>
      </c>
      <c r="P141" s="49"/>
    </row>
    <row r="142" spans="4:16">
      <c r="D142" s="47"/>
      <c r="E142" s="39">
        <v>6</v>
      </c>
      <c r="F142" s="39">
        <v>20</v>
      </c>
      <c r="G142" s="39">
        <v>6</v>
      </c>
      <c r="H142" s="39" t="s">
        <v>5</v>
      </c>
      <c r="I142" s="39">
        <v>46.501469999999998</v>
      </c>
      <c r="J142" s="39">
        <v>0.64947500000000002</v>
      </c>
      <c r="K142" s="39">
        <v>5.6405570000000003</v>
      </c>
      <c r="L142" s="39">
        <v>1.2500000000000001E-5</v>
      </c>
      <c r="M142" s="39">
        <v>3.9829000000000003E-2</v>
      </c>
      <c r="N142" s="39">
        <v>1.897E-3</v>
      </c>
      <c r="O142" s="39">
        <v>6.2144999999999999E-2</v>
      </c>
      <c r="P142" s="49"/>
    </row>
    <row r="143" spans="4:16">
      <c r="D143" s="47"/>
      <c r="E143" s="39">
        <v>6</v>
      </c>
      <c r="F143" s="39">
        <v>20</v>
      </c>
      <c r="G143" s="39">
        <v>7</v>
      </c>
      <c r="H143" s="39" t="s">
        <v>6</v>
      </c>
      <c r="I143" s="39">
        <v>53.467880000000001</v>
      </c>
      <c r="J143" s="39">
        <v>0.57036100000000001</v>
      </c>
      <c r="K143" s="39">
        <v>8.3042979999999993</v>
      </c>
      <c r="L143" s="39">
        <v>1.15E-5</v>
      </c>
      <c r="M143" s="39">
        <v>3.5230999999999998E-2</v>
      </c>
      <c r="N143" s="39">
        <v>1.781E-3</v>
      </c>
      <c r="O143" s="39">
        <v>4.7612000000000002E-2</v>
      </c>
      <c r="P143" s="49"/>
    </row>
    <row r="144" spans="4:16">
      <c r="D144" s="47"/>
      <c r="E144" s="39">
        <v>6</v>
      </c>
      <c r="F144" s="39">
        <v>20</v>
      </c>
      <c r="G144" s="39">
        <v>8</v>
      </c>
      <c r="H144" s="39" t="s">
        <v>7</v>
      </c>
      <c r="I144" s="39">
        <v>77.719819999999999</v>
      </c>
      <c r="J144" s="39">
        <v>0.36782999999999999</v>
      </c>
      <c r="K144" s="39">
        <v>8.3162369999999992</v>
      </c>
      <c r="L144" s="39">
        <v>3.2499999999999998E-6</v>
      </c>
      <c r="M144" s="39">
        <v>6.6142000000000006E-2</v>
      </c>
      <c r="N144" s="39">
        <v>3.6099999999999999E-4</v>
      </c>
      <c r="O144" s="39">
        <v>3.6443000000000003E-2</v>
      </c>
      <c r="P144" s="49"/>
    </row>
    <row r="145" spans="4:16">
      <c r="D145" s="47"/>
      <c r="E145" s="39">
        <v>6</v>
      </c>
      <c r="F145" s="39">
        <v>20</v>
      </c>
      <c r="G145" s="39">
        <v>9</v>
      </c>
      <c r="H145" s="39" t="s">
        <v>8</v>
      </c>
      <c r="I145" s="39">
        <v>118.4576</v>
      </c>
      <c r="J145" s="39">
        <v>0.55799500000000002</v>
      </c>
      <c r="K145" s="39">
        <v>6.2464919999999999</v>
      </c>
      <c r="L145" s="39">
        <v>-1.2E-5</v>
      </c>
      <c r="M145" s="39">
        <v>5.6932000000000003E-2</v>
      </c>
      <c r="N145" s="39">
        <v>8.2799999999999996E-4</v>
      </c>
      <c r="O145" s="39">
        <v>2.1451999999999999E-2</v>
      </c>
      <c r="P145" s="49"/>
    </row>
    <row r="146" spans="4:16">
      <c r="D146" s="47"/>
      <c r="E146" s="39">
        <v>6</v>
      </c>
      <c r="F146" s="39">
        <v>20</v>
      </c>
      <c r="G146" s="39">
        <v>10</v>
      </c>
      <c r="H146" s="39" t="s">
        <v>9</v>
      </c>
      <c r="I146" s="39">
        <v>101.9191</v>
      </c>
      <c r="J146" s="39">
        <v>0.33451500000000001</v>
      </c>
      <c r="K146" s="39">
        <v>8.3840859999999999</v>
      </c>
      <c r="L146" s="39">
        <v>4.4599999999999996E-6</v>
      </c>
      <c r="M146" s="39">
        <v>8.0324000000000007E-2</v>
      </c>
      <c r="N146" s="39">
        <v>-6.4999999999999994E-5</v>
      </c>
      <c r="O146" s="39">
        <v>2.9108999999999999E-2</v>
      </c>
      <c r="P146" s="49"/>
    </row>
    <row r="147" spans="4:16">
      <c r="D147" s="47"/>
      <c r="E147" s="39">
        <v>6</v>
      </c>
      <c r="F147" s="39">
        <v>20</v>
      </c>
      <c r="G147" s="39">
        <v>11</v>
      </c>
      <c r="H147" s="39" t="s">
        <v>10</v>
      </c>
      <c r="I147" s="39">
        <v>113.2533</v>
      </c>
      <c r="J147" s="39">
        <v>0.33725699999999997</v>
      </c>
      <c r="K147" s="39">
        <v>7.8044950000000002</v>
      </c>
      <c r="L147" s="39">
        <v>6.7399999999999998E-6</v>
      </c>
      <c r="M147" s="39">
        <v>7.7855999999999995E-2</v>
      </c>
      <c r="N147" s="39">
        <v>-5.1000000000000003E-6</v>
      </c>
      <c r="O147" s="39">
        <v>2.5066999999999999E-2</v>
      </c>
      <c r="P147" s="49"/>
    </row>
    <row r="148" spans="4:16">
      <c r="D148" s="47"/>
      <c r="E148" s="39">
        <v>6</v>
      </c>
      <c r="F148" s="39">
        <v>20</v>
      </c>
      <c r="G148" s="39">
        <v>12</v>
      </c>
      <c r="H148" s="39" t="s">
        <v>11</v>
      </c>
      <c r="I148" s="39">
        <v>124.4025</v>
      </c>
      <c r="J148" s="39">
        <v>0.332789</v>
      </c>
      <c r="K148" s="39">
        <v>7.3252550000000003</v>
      </c>
      <c r="L148" s="39">
        <v>5.5400000000000003E-6</v>
      </c>
      <c r="M148" s="39">
        <v>7.7725000000000002E-2</v>
      </c>
      <c r="N148" s="39">
        <v>-3.8999999999999999E-5</v>
      </c>
      <c r="O148" s="39">
        <v>2.2928E-2</v>
      </c>
      <c r="P148" s="49"/>
    </row>
    <row r="149" spans="4:16">
      <c r="D149" s="47"/>
      <c r="E149" s="39">
        <v>6</v>
      </c>
      <c r="F149" s="39">
        <v>20</v>
      </c>
      <c r="G149" s="39">
        <v>13</v>
      </c>
      <c r="H149" s="39" t="s">
        <v>12</v>
      </c>
      <c r="I149" s="39">
        <v>138.22919999999999</v>
      </c>
      <c r="J149" s="39">
        <v>0.31611</v>
      </c>
      <c r="K149" s="39">
        <v>6.5046970000000002</v>
      </c>
      <c r="L149" s="39">
        <v>6.9700000000000002E-6</v>
      </c>
      <c r="M149" s="39">
        <v>7.0620000000000002E-2</v>
      </c>
      <c r="N149" s="39">
        <v>-2.7E-4</v>
      </c>
      <c r="O149" s="39">
        <v>2.0369999999999999E-2</v>
      </c>
      <c r="P149" s="49"/>
    </row>
    <row r="150" spans="4:16">
      <c r="D150" s="47"/>
      <c r="E150" s="39">
        <v>6</v>
      </c>
      <c r="F150" s="39">
        <v>20</v>
      </c>
      <c r="G150" s="39">
        <v>14</v>
      </c>
      <c r="H150" s="39" t="s">
        <v>14</v>
      </c>
      <c r="I150" s="39">
        <v>155.03129999999999</v>
      </c>
      <c r="J150" s="39">
        <v>0.30483399999999999</v>
      </c>
      <c r="K150" s="39">
        <v>6.5455059999999996</v>
      </c>
      <c r="L150" s="39">
        <v>3.0800000000000002E-6</v>
      </c>
      <c r="M150" s="39">
        <v>7.6877000000000001E-2</v>
      </c>
      <c r="N150" s="39">
        <v>-1.6000000000000001E-4</v>
      </c>
      <c r="O150" s="39">
        <v>1.8098E-2</v>
      </c>
      <c r="P150" s="49"/>
    </row>
    <row r="151" spans="4:16">
      <c r="D151" s="47"/>
      <c r="E151" s="39">
        <v>6</v>
      </c>
      <c r="F151" s="39">
        <v>20</v>
      </c>
      <c r="G151" s="39">
        <v>15</v>
      </c>
      <c r="H151" s="39" t="s">
        <v>15</v>
      </c>
      <c r="I151" s="39">
        <v>152.52799999999999</v>
      </c>
      <c r="J151" s="39">
        <v>0.30368499999999998</v>
      </c>
      <c r="K151" s="39">
        <v>6.5488080000000002</v>
      </c>
      <c r="L151" s="39">
        <v>5.9800000000000003E-6</v>
      </c>
      <c r="M151" s="39">
        <v>7.4454000000000006E-2</v>
      </c>
      <c r="N151" s="39">
        <v>-1.8000000000000001E-4</v>
      </c>
      <c r="O151" s="39">
        <v>1.8710000000000001E-2</v>
      </c>
      <c r="P151" s="49"/>
    </row>
    <row r="152" spans="4:16">
      <c r="D152" s="47"/>
      <c r="E152" s="39">
        <v>6</v>
      </c>
      <c r="F152" s="39">
        <v>20</v>
      </c>
      <c r="G152" s="39">
        <v>16</v>
      </c>
      <c r="H152" s="39" t="s">
        <v>16</v>
      </c>
      <c r="I152" s="39">
        <v>201.50839999999999</v>
      </c>
      <c r="J152" s="39">
        <v>0.29215600000000003</v>
      </c>
      <c r="K152" s="39">
        <v>6.046875</v>
      </c>
      <c r="L152" s="39">
        <v>-1.1000000000000001E-6</v>
      </c>
      <c r="M152" s="39">
        <v>7.5173000000000004E-2</v>
      </c>
      <c r="N152" s="39">
        <v>-2.0000000000000001E-4</v>
      </c>
      <c r="O152" s="39">
        <v>1.3816999999999999E-2</v>
      </c>
      <c r="P152" s="49"/>
    </row>
    <row r="153" spans="4:16">
      <c r="D153" s="47"/>
      <c r="E153" s="39">
        <v>6</v>
      </c>
      <c r="F153" s="39">
        <v>20</v>
      </c>
      <c r="G153" s="39">
        <v>17</v>
      </c>
      <c r="H153" s="39" t="s">
        <v>17</v>
      </c>
      <c r="I153" s="39">
        <v>232.77199999999999</v>
      </c>
      <c r="J153" s="39">
        <v>0.323409</v>
      </c>
      <c r="K153" s="39">
        <v>6.1762259999999998</v>
      </c>
      <c r="L153" s="39">
        <v>-5.3000000000000001E-6</v>
      </c>
      <c r="M153" s="39">
        <v>7.6170000000000002E-2</v>
      </c>
      <c r="N153" s="39">
        <v>-3.3000000000000002E-6</v>
      </c>
      <c r="O153" s="39">
        <v>1.175E-2</v>
      </c>
      <c r="P153" s="49"/>
    </row>
    <row r="154" spans="4:16">
      <c r="D154" s="47"/>
      <c r="E154" s="39">
        <v>6</v>
      </c>
      <c r="F154" s="39">
        <v>20</v>
      </c>
      <c r="G154" s="39">
        <v>18</v>
      </c>
      <c r="H154" s="39" t="s">
        <v>18</v>
      </c>
      <c r="I154" s="39">
        <v>240.12960000000001</v>
      </c>
      <c r="J154" s="39">
        <v>0.23550199999999999</v>
      </c>
      <c r="K154" s="39">
        <v>6.1461860000000001</v>
      </c>
      <c r="L154" s="39">
        <v>9.9599999999999995E-6</v>
      </c>
      <c r="M154" s="39">
        <v>7.2352E-2</v>
      </c>
      <c r="N154" s="39">
        <v>-2.9E-4</v>
      </c>
      <c r="O154" s="39">
        <v>1.1499000000000001E-2</v>
      </c>
      <c r="P154" s="49"/>
    </row>
    <row r="155" spans="4:16">
      <c r="D155" s="47"/>
      <c r="E155" s="39">
        <v>6</v>
      </c>
      <c r="F155" s="39">
        <v>20</v>
      </c>
      <c r="G155" s="39">
        <v>19</v>
      </c>
      <c r="H155" s="39" t="s">
        <v>19</v>
      </c>
      <c r="I155" s="39">
        <v>274.99250000000001</v>
      </c>
      <c r="J155" s="39">
        <v>0.20861299999999999</v>
      </c>
      <c r="K155" s="39">
        <v>6.3377929999999996</v>
      </c>
      <c r="L155" s="39">
        <v>1.9899999999999999E-5</v>
      </c>
      <c r="M155" s="39">
        <v>7.1945999999999996E-2</v>
      </c>
      <c r="N155" s="39">
        <v>-2.7999999999999998E-4</v>
      </c>
      <c r="O155" s="39">
        <v>1.0137E-2</v>
      </c>
      <c r="P155" s="49"/>
    </row>
    <row r="156" spans="4:16">
      <c r="D156" s="47"/>
      <c r="E156" s="39">
        <v>6</v>
      </c>
      <c r="F156" s="39">
        <v>20</v>
      </c>
      <c r="G156" s="39">
        <v>20</v>
      </c>
      <c r="H156" s="39" t="s">
        <v>20</v>
      </c>
      <c r="I156" s="39">
        <v>284.94639999999998</v>
      </c>
      <c r="J156" s="39">
        <v>0.19235099999999999</v>
      </c>
      <c r="K156" s="39">
        <v>6.0998530000000004</v>
      </c>
      <c r="L156" s="39">
        <v>2.3200000000000001E-5</v>
      </c>
      <c r="M156" s="39">
        <v>7.0245000000000002E-2</v>
      </c>
      <c r="N156" s="39">
        <v>-3.3E-4</v>
      </c>
      <c r="O156" s="39">
        <v>9.8619999999999992E-3</v>
      </c>
      <c r="P156" s="49"/>
    </row>
    <row r="157" spans="4:16">
      <c r="D157" s="47"/>
      <c r="E157" s="50"/>
      <c r="F157" s="50"/>
      <c r="G157" s="50"/>
      <c r="H157" s="50"/>
      <c r="I157" s="50"/>
      <c r="J157" s="50"/>
      <c r="K157" s="50"/>
      <c r="L157" s="50"/>
      <c r="M157" s="50"/>
      <c r="N157" s="50"/>
      <c r="O157" s="50"/>
      <c r="P157" s="49"/>
    </row>
    <row r="158" spans="4:16">
      <c r="D158" s="47"/>
      <c r="E158" s="22" t="s">
        <v>21</v>
      </c>
      <c r="F158" s="22" t="s">
        <v>22</v>
      </c>
      <c r="G158" s="22"/>
      <c r="H158" s="22" t="s">
        <v>13</v>
      </c>
      <c r="I158" s="22" t="s">
        <v>27</v>
      </c>
      <c r="J158" s="22" t="s">
        <v>28</v>
      </c>
      <c r="K158" s="22" t="s">
        <v>29</v>
      </c>
      <c r="L158" s="22" t="s">
        <v>30</v>
      </c>
      <c r="M158" s="22" t="s">
        <v>31</v>
      </c>
      <c r="N158" s="22" t="s">
        <v>32</v>
      </c>
      <c r="O158" s="22" t="s">
        <v>33</v>
      </c>
      <c r="P158" s="49"/>
    </row>
    <row r="159" spans="4:16">
      <c r="D159" s="47"/>
      <c r="E159" s="39">
        <v>6</v>
      </c>
      <c r="F159" s="39">
        <v>120</v>
      </c>
      <c r="G159" s="39">
        <v>1</v>
      </c>
      <c r="H159" s="39" t="s">
        <v>0</v>
      </c>
      <c r="I159" s="39">
        <v>22.00601</v>
      </c>
      <c r="J159" s="39">
        <v>0.66630500000000004</v>
      </c>
      <c r="K159" s="39">
        <v>8.5413530000000009</v>
      </c>
      <c r="L159" s="39">
        <v>1.56E-5</v>
      </c>
      <c r="M159" s="39">
        <v>2.9558999999999998E-2</v>
      </c>
      <c r="N159" s="39">
        <v>7.0500000000000001E-4</v>
      </c>
      <c r="O159" s="39">
        <v>8.3996000000000001E-2</v>
      </c>
      <c r="P159" s="49"/>
    </row>
    <row r="160" spans="4:16">
      <c r="D160" s="47"/>
      <c r="E160" s="39">
        <v>6</v>
      </c>
      <c r="F160" s="39">
        <v>120</v>
      </c>
      <c r="G160" s="39">
        <v>2</v>
      </c>
      <c r="H160" s="39" t="s">
        <v>1</v>
      </c>
      <c r="I160" s="39">
        <v>29.10209</v>
      </c>
      <c r="J160" s="39">
        <v>0.67133600000000004</v>
      </c>
      <c r="K160" s="39">
        <v>9.8482640000000004</v>
      </c>
      <c r="L160" s="39">
        <v>1.11E-5</v>
      </c>
      <c r="M160" s="39">
        <v>2.7616000000000002E-2</v>
      </c>
      <c r="N160" s="39">
        <v>8.1700000000000002E-4</v>
      </c>
      <c r="O160" s="39">
        <v>6.8691000000000002E-2</v>
      </c>
      <c r="P160" s="49"/>
    </row>
    <row r="161" spans="4:16">
      <c r="D161" s="47"/>
      <c r="E161" s="39">
        <v>6</v>
      </c>
      <c r="F161" s="39">
        <v>120</v>
      </c>
      <c r="G161" s="39">
        <v>3</v>
      </c>
      <c r="H161" s="39" t="s">
        <v>2</v>
      </c>
      <c r="I161" s="39">
        <v>37.96987</v>
      </c>
      <c r="J161" s="39">
        <v>0.70130300000000001</v>
      </c>
      <c r="K161" s="39">
        <v>10.258330000000001</v>
      </c>
      <c r="L161" s="39">
        <v>8.2900000000000002E-6</v>
      </c>
      <c r="M161" s="39">
        <v>2.4517000000000001E-2</v>
      </c>
      <c r="N161" s="39">
        <v>9.0799999999999995E-4</v>
      </c>
      <c r="O161" s="39">
        <v>4.786E-2</v>
      </c>
      <c r="P161" s="49"/>
    </row>
    <row r="162" spans="4:16">
      <c r="D162" s="47"/>
      <c r="E162" s="39">
        <v>6</v>
      </c>
      <c r="F162" s="39">
        <v>120</v>
      </c>
      <c r="G162" s="39">
        <v>4</v>
      </c>
      <c r="H162" s="39" t="s">
        <v>3</v>
      </c>
      <c r="I162" s="39">
        <v>33.306840000000001</v>
      </c>
      <c r="J162" s="39">
        <v>0.66335200000000005</v>
      </c>
      <c r="K162" s="39">
        <v>6.9095069999999996</v>
      </c>
      <c r="L162" s="39">
        <v>2.5799999999999999E-6</v>
      </c>
      <c r="M162" s="39">
        <v>3.8483000000000003E-2</v>
      </c>
      <c r="N162" s="39">
        <v>2.3609999999999998E-3</v>
      </c>
      <c r="O162" s="39">
        <v>9.1965000000000005E-2</v>
      </c>
      <c r="P162" s="49"/>
    </row>
    <row r="163" spans="4:16">
      <c r="D163" s="47"/>
      <c r="E163" s="39">
        <v>6</v>
      </c>
      <c r="F163" s="39">
        <v>120</v>
      </c>
      <c r="G163" s="39">
        <v>5</v>
      </c>
      <c r="H163" s="39" t="s">
        <v>4</v>
      </c>
      <c r="I163" s="39">
        <v>36.55789</v>
      </c>
      <c r="J163" s="39">
        <v>0.667906</v>
      </c>
      <c r="K163" s="39">
        <v>6.9267000000000003</v>
      </c>
      <c r="L163" s="39">
        <v>9.3500000000000003E-6</v>
      </c>
      <c r="M163" s="39">
        <v>3.3399999999999999E-2</v>
      </c>
      <c r="N163" s="39">
        <v>2.0010000000000002E-3</v>
      </c>
      <c r="O163" s="39">
        <v>5.2086E-2</v>
      </c>
      <c r="P163" s="49"/>
    </row>
    <row r="164" spans="4:16">
      <c r="D164" s="47"/>
      <c r="E164" s="39">
        <v>6</v>
      </c>
      <c r="F164" s="39">
        <v>120</v>
      </c>
      <c r="G164" s="39">
        <v>6</v>
      </c>
      <c r="H164" s="39" t="s">
        <v>5</v>
      </c>
      <c r="I164" s="39">
        <v>46.514600000000002</v>
      </c>
      <c r="J164" s="39">
        <v>0.65902400000000005</v>
      </c>
      <c r="K164" s="39">
        <v>5.3681900000000002</v>
      </c>
      <c r="L164" s="39">
        <v>1.04E-5</v>
      </c>
      <c r="M164" s="39">
        <v>4.0041E-2</v>
      </c>
      <c r="N164" s="39">
        <v>1.867E-3</v>
      </c>
      <c r="O164" s="39">
        <v>6.2844999999999998E-2</v>
      </c>
      <c r="P164" s="49"/>
    </row>
    <row r="165" spans="4:16">
      <c r="D165" s="47"/>
      <c r="E165" s="39">
        <v>6</v>
      </c>
      <c r="F165" s="39">
        <v>120</v>
      </c>
      <c r="G165" s="39">
        <v>7</v>
      </c>
      <c r="H165" s="39" t="s">
        <v>6</v>
      </c>
      <c r="I165" s="39">
        <v>53.503909999999998</v>
      </c>
      <c r="J165" s="39">
        <v>0.58265500000000003</v>
      </c>
      <c r="K165" s="39">
        <v>8.0076800000000006</v>
      </c>
      <c r="L165" s="39">
        <v>9.8200000000000008E-6</v>
      </c>
      <c r="M165" s="39">
        <v>3.5174999999999998E-2</v>
      </c>
      <c r="N165" s="39">
        <v>1.7589999999999999E-3</v>
      </c>
      <c r="O165" s="39">
        <v>4.7655999999999997E-2</v>
      </c>
      <c r="P165" s="49"/>
    </row>
    <row r="166" spans="4:16">
      <c r="D166" s="47"/>
      <c r="E166" s="39">
        <v>6</v>
      </c>
      <c r="F166" s="39">
        <v>120</v>
      </c>
      <c r="G166" s="39">
        <v>8</v>
      </c>
      <c r="H166" s="39" t="s">
        <v>7</v>
      </c>
      <c r="I166" s="39">
        <v>78.210840000000005</v>
      </c>
      <c r="J166" s="39">
        <v>0.36339900000000003</v>
      </c>
      <c r="K166" s="39">
        <v>8.2744250000000008</v>
      </c>
      <c r="L166" s="39">
        <v>4.3599999999999998E-6</v>
      </c>
      <c r="M166" s="39">
        <v>6.5314999999999998E-2</v>
      </c>
      <c r="N166" s="39">
        <v>3.7599999999999998E-4</v>
      </c>
      <c r="O166" s="39">
        <v>3.6344000000000001E-2</v>
      </c>
      <c r="P166" s="49"/>
    </row>
    <row r="167" spans="4:16">
      <c r="D167" s="47"/>
      <c r="E167" s="39">
        <v>6</v>
      </c>
      <c r="F167" s="39">
        <v>120</v>
      </c>
      <c r="G167" s="39">
        <v>9</v>
      </c>
      <c r="H167" s="39" t="s">
        <v>8</v>
      </c>
      <c r="I167" s="39">
        <v>119.08110000000001</v>
      </c>
      <c r="J167" s="39">
        <v>0.55351300000000003</v>
      </c>
      <c r="K167" s="39">
        <v>6.223668</v>
      </c>
      <c r="L167" s="39">
        <v>-1.2E-5</v>
      </c>
      <c r="M167" s="39">
        <v>5.6618000000000002E-2</v>
      </c>
      <c r="N167" s="39">
        <v>8.2399999999999997E-4</v>
      </c>
      <c r="O167" s="39">
        <v>2.1396999999999999E-2</v>
      </c>
      <c r="P167" s="49"/>
    </row>
    <row r="168" spans="4:16">
      <c r="D168" s="47"/>
      <c r="E168" s="39">
        <v>6</v>
      </c>
      <c r="F168" s="39">
        <v>120</v>
      </c>
      <c r="G168" s="39">
        <v>10</v>
      </c>
      <c r="H168" s="39" t="s">
        <v>9</v>
      </c>
      <c r="I168" s="39">
        <v>103.6091</v>
      </c>
      <c r="J168" s="39">
        <v>0.33922200000000002</v>
      </c>
      <c r="K168" s="39">
        <v>7.9374840000000004</v>
      </c>
      <c r="L168" s="39">
        <v>5.84E-6</v>
      </c>
      <c r="M168" s="39">
        <v>7.6855999999999994E-2</v>
      </c>
      <c r="N168" s="39">
        <v>4.32E-5</v>
      </c>
      <c r="O168" s="39">
        <v>2.8979000000000001E-2</v>
      </c>
      <c r="P168" s="49"/>
    </row>
    <row r="169" spans="4:16">
      <c r="D169" s="47"/>
      <c r="E169" s="39">
        <v>6</v>
      </c>
      <c r="F169" s="39">
        <v>120</v>
      </c>
      <c r="G169" s="39">
        <v>11</v>
      </c>
      <c r="H169" s="39" t="s">
        <v>10</v>
      </c>
      <c r="I169" s="39">
        <v>115.3691</v>
      </c>
      <c r="J169" s="39">
        <v>0.33210299999999998</v>
      </c>
      <c r="K169" s="39">
        <v>7.5609669999999998</v>
      </c>
      <c r="L169" s="39">
        <v>9.7699999999999996E-6</v>
      </c>
      <c r="M169" s="39">
        <v>7.4311000000000002E-2</v>
      </c>
      <c r="N169" s="39">
        <v>1.07E-4</v>
      </c>
      <c r="O169" s="39">
        <v>2.4853E-2</v>
      </c>
      <c r="P169" s="49"/>
    </row>
    <row r="170" spans="4:16">
      <c r="D170" s="47"/>
      <c r="E170" s="39">
        <v>6</v>
      </c>
      <c r="F170" s="39">
        <v>120</v>
      </c>
      <c r="G170" s="39">
        <v>12</v>
      </c>
      <c r="H170" s="39" t="s">
        <v>11</v>
      </c>
      <c r="I170" s="39">
        <v>126.8047</v>
      </c>
      <c r="J170" s="39">
        <v>0.32450800000000002</v>
      </c>
      <c r="K170" s="39">
        <v>7.1482640000000002</v>
      </c>
      <c r="L170" s="39">
        <v>8.9299999999999992E-6</v>
      </c>
      <c r="M170" s="39">
        <v>7.4217000000000005E-2</v>
      </c>
      <c r="N170" s="39">
        <v>7.2100000000000004E-5</v>
      </c>
      <c r="O170" s="39">
        <v>2.2713000000000001E-2</v>
      </c>
      <c r="P170" s="49"/>
    </row>
    <row r="171" spans="4:16">
      <c r="D171" s="47"/>
      <c r="E171" s="39">
        <v>6</v>
      </c>
      <c r="F171" s="39">
        <v>120</v>
      </c>
      <c r="G171" s="39">
        <v>13</v>
      </c>
      <c r="H171" s="39" t="s">
        <v>12</v>
      </c>
      <c r="I171" s="39">
        <v>140.6703</v>
      </c>
      <c r="J171" s="39">
        <v>0.31498700000000002</v>
      </c>
      <c r="K171" s="39">
        <v>6.2186849999999998</v>
      </c>
      <c r="L171" s="39">
        <v>9.2299999999999997E-6</v>
      </c>
      <c r="M171" s="39">
        <v>6.7610000000000003E-2</v>
      </c>
      <c r="N171" s="39">
        <v>-1.7000000000000001E-4</v>
      </c>
      <c r="O171" s="39">
        <v>2.0168999999999999E-2</v>
      </c>
      <c r="P171" s="49"/>
    </row>
    <row r="172" spans="4:16">
      <c r="D172" s="47"/>
      <c r="E172" s="39">
        <v>6</v>
      </c>
      <c r="F172" s="39">
        <v>120</v>
      </c>
      <c r="G172" s="39">
        <v>14</v>
      </c>
      <c r="H172" s="39" t="s">
        <v>14</v>
      </c>
      <c r="I172" s="39">
        <v>157.88069999999999</v>
      </c>
      <c r="J172" s="39">
        <v>0.30391099999999999</v>
      </c>
      <c r="K172" s="39">
        <v>6.2505009999999999</v>
      </c>
      <c r="L172" s="39">
        <v>4.9100000000000004E-6</v>
      </c>
      <c r="M172" s="39">
        <v>7.3913999999999994E-2</v>
      </c>
      <c r="N172" s="39">
        <v>-8.0000000000000007E-5</v>
      </c>
      <c r="O172" s="39">
        <v>1.7902999999999999E-2</v>
      </c>
      <c r="P172" s="49"/>
    </row>
    <row r="173" spans="4:16">
      <c r="D173" s="47"/>
      <c r="E173" s="39">
        <v>6</v>
      </c>
      <c r="F173" s="39">
        <v>120</v>
      </c>
      <c r="G173" s="39">
        <v>15</v>
      </c>
      <c r="H173" s="39" t="s">
        <v>15</v>
      </c>
      <c r="I173" s="39">
        <v>155.36840000000001</v>
      </c>
      <c r="J173" s="39">
        <v>0.30191499999999999</v>
      </c>
      <c r="K173" s="39">
        <v>6.2715909999999999</v>
      </c>
      <c r="L173" s="39">
        <v>8.2700000000000004E-6</v>
      </c>
      <c r="M173" s="39">
        <v>7.1335999999999997E-2</v>
      </c>
      <c r="N173" s="39">
        <v>-8.3999999999999995E-5</v>
      </c>
      <c r="O173" s="39">
        <v>1.8502000000000001E-2</v>
      </c>
      <c r="P173" s="49"/>
    </row>
    <row r="174" spans="4:16">
      <c r="D174" s="47"/>
      <c r="E174" s="39">
        <v>6</v>
      </c>
      <c r="F174" s="39">
        <v>120</v>
      </c>
      <c r="G174" s="39">
        <v>16</v>
      </c>
      <c r="H174" s="39" t="s">
        <v>16</v>
      </c>
      <c r="I174" s="39">
        <v>205.2756</v>
      </c>
      <c r="J174" s="39">
        <v>0.293294</v>
      </c>
      <c r="K174" s="39">
        <v>5.7086069999999998</v>
      </c>
      <c r="L174" s="39">
        <v>-7.3000000000000005E-8</v>
      </c>
      <c r="M174" s="39">
        <v>7.2553999999999993E-2</v>
      </c>
      <c r="N174" s="39">
        <v>-1.2999999999999999E-4</v>
      </c>
      <c r="O174" s="39">
        <v>1.3669000000000001E-2</v>
      </c>
      <c r="P174" s="49"/>
    </row>
    <row r="175" spans="4:16">
      <c r="D175" s="47"/>
      <c r="E175" s="39">
        <v>6</v>
      </c>
      <c r="F175" s="39">
        <v>120</v>
      </c>
      <c r="G175" s="39">
        <v>17</v>
      </c>
      <c r="H175" s="39" t="s">
        <v>17</v>
      </c>
      <c r="I175" s="39">
        <v>237.1165</v>
      </c>
      <c r="J175" s="39">
        <v>0.32491100000000001</v>
      </c>
      <c r="K175" s="39">
        <v>5.8212739999999998</v>
      </c>
      <c r="L175" s="39">
        <v>-5.0000000000000004E-6</v>
      </c>
      <c r="M175" s="39">
        <v>7.3702000000000004E-2</v>
      </c>
      <c r="N175" s="39">
        <v>5.1499999999999998E-5</v>
      </c>
      <c r="O175" s="39">
        <v>1.1629E-2</v>
      </c>
      <c r="P175" s="49"/>
    </row>
    <row r="176" spans="4:16">
      <c r="D176" s="47"/>
      <c r="E176" s="39">
        <v>6</v>
      </c>
      <c r="F176" s="39">
        <v>120</v>
      </c>
      <c r="G176" s="39">
        <v>18</v>
      </c>
      <c r="H176" s="39" t="s">
        <v>18</v>
      </c>
      <c r="I176" s="39">
        <v>244.10290000000001</v>
      </c>
      <c r="J176" s="39">
        <v>0.23396900000000001</v>
      </c>
      <c r="K176" s="39">
        <v>5.8739420000000004</v>
      </c>
      <c r="L176" s="39">
        <v>1.2500000000000001E-5</v>
      </c>
      <c r="M176" s="39">
        <v>7.0055999999999993E-2</v>
      </c>
      <c r="N176" s="39">
        <v>-2.2000000000000001E-4</v>
      </c>
      <c r="O176" s="39">
        <v>1.141E-2</v>
      </c>
      <c r="P176" s="49"/>
    </row>
    <row r="177" spans="4:16">
      <c r="D177" s="47"/>
      <c r="E177" s="39">
        <v>6</v>
      </c>
      <c r="F177" s="39">
        <v>120</v>
      </c>
      <c r="G177" s="39">
        <v>19</v>
      </c>
      <c r="H177" s="39" t="s">
        <v>19</v>
      </c>
      <c r="I177" s="39">
        <v>279.38679999999999</v>
      </c>
      <c r="J177" s="39">
        <v>0.20610300000000001</v>
      </c>
      <c r="K177" s="39">
        <v>6.07951</v>
      </c>
      <c r="L177" s="39">
        <v>2.3499999999999999E-5</v>
      </c>
      <c r="M177" s="39">
        <v>6.9718000000000002E-2</v>
      </c>
      <c r="N177" s="39">
        <v>-2.1000000000000001E-4</v>
      </c>
      <c r="O177" s="39">
        <v>1.0071999999999999E-2</v>
      </c>
      <c r="P177" s="49"/>
    </row>
    <row r="178" spans="4:16">
      <c r="D178" s="47"/>
      <c r="E178" s="39">
        <v>6</v>
      </c>
      <c r="F178" s="39">
        <v>120</v>
      </c>
      <c r="G178" s="39">
        <v>20</v>
      </c>
      <c r="H178" s="39" t="s">
        <v>20</v>
      </c>
      <c r="I178" s="39">
        <v>289.29790000000003</v>
      </c>
      <c r="J178" s="39">
        <v>0.189086</v>
      </c>
      <c r="K178" s="39">
        <v>5.8654609999999998</v>
      </c>
      <c r="L178" s="39">
        <v>2.7399999999999999E-5</v>
      </c>
      <c r="M178" s="39">
        <v>6.8115999999999996E-2</v>
      </c>
      <c r="N178" s="39">
        <v>-2.5999999999999998E-4</v>
      </c>
      <c r="O178" s="39">
        <v>9.8049999999999995E-3</v>
      </c>
      <c r="P178" s="49"/>
    </row>
    <row r="179" spans="4:16">
      <c r="D179" s="47"/>
      <c r="E179" s="50"/>
      <c r="F179" s="50"/>
      <c r="G179" s="50"/>
      <c r="H179" s="50"/>
      <c r="I179" s="50"/>
      <c r="J179" s="50"/>
      <c r="K179" s="50"/>
      <c r="L179" s="50"/>
      <c r="M179" s="50"/>
      <c r="N179" s="50"/>
      <c r="O179" s="50"/>
      <c r="P179" s="49"/>
    </row>
    <row r="180" spans="4:16">
      <c r="D180" s="47"/>
      <c r="E180" s="22" t="s">
        <v>21</v>
      </c>
      <c r="F180" s="22" t="s">
        <v>22</v>
      </c>
      <c r="G180" s="22"/>
      <c r="H180" s="22" t="s">
        <v>13</v>
      </c>
      <c r="I180" s="22" t="s">
        <v>27</v>
      </c>
      <c r="J180" s="22" t="s">
        <v>28</v>
      </c>
      <c r="K180" s="22" t="s">
        <v>29</v>
      </c>
      <c r="L180" s="22" t="s">
        <v>30</v>
      </c>
      <c r="M180" s="22" t="s">
        <v>31</v>
      </c>
      <c r="N180" s="22" t="s">
        <v>32</v>
      </c>
      <c r="O180" s="22" t="s">
        <v>33</v>
      </c>
      <c r="P180" s="49"/>
    </row>
    <row r="181" spans="4:16">
      <c r="D181" s="47"/>
      <c r="E181" s="39">
        <v>6</v>
      </c>
      <c r="F181" s="39">
        <v>300</v>
      </c>
      <c r="G181" s="39">
        <v>1</v>
      </c>
      <c r="H181" s="39" t="s">
        <v>0</v>
      </c>
      <c r="I181" s="39">
        <v>22.062280000000001</v>
      </c>
      <c r="J181" s="39">
        <v>0.66124099999999997</v>
      </c>
      <c r="K181" s="39">
        <v>8.2685510000000004</v>
      </c>
      <c r="L181" s="39">
        <v>1.5E-5</v>
      </c>
      <c r="M181" s="39">
        <v>3.0286E-2</v>
      </c>
      <c r="N181" s="39">
        <v>6.3599999999999996E-4</v>
      </c>
      <c r="O181" s="39">
        <v>9.4462000000000004E-2</v>
      </c>
      <c r="P181" s="49"/>
    </row>
    <row r="182" spans="4:16">
      <c r="D182" s="47"/>
      <c r="E182" s="39">
        <v>6</v>
      </c>
      <c r="F182" s="39">
        <v>300</v>
      </c>
      <c r="G182" s="39">
        <v>2</v>
      </c>
      <c r="H182" s="39" t="s">
        <v>1</v>
      </c>
      <c r="I182" s="39">
        <v>29.230149999999998</v>
      </c>
      <c r="J182" s="39">
        <v>0.66643200000000002</v>
      </c>
      <c r="K182" s="39">
        <v>9.5143749999999994</v>
      </c>
      <c r="L182" s="39">
        <v>1.03E-5</v>
      </c>
      <c r="M182" s="39">
        <v>2.8396000000000001E-2</v>
      </c>
      <c r="N182" s="39">
        <v>7.3800000000000005E-4</v>
      </c>
      <c r="O182" s="39">
        <v>7.7433000000000002E-2</v>
      </c>
      <c r="P182" s="49"/>
    </row>
    <row r="183" spans="4:16">
      <c r="D183" s="47"/>
      <c r="E183" s="39">
        <v>6</v>
      </c>
      <c r="F183" s="39">
        <v>300</v>
      </c>
      <c r="G183" s="39">
        <v>3</v>
      </c>
      <c r="H183" s="39" t="s">
        <v>2</v>
      </c>
      <c r="I183" s="39">
        <v>38.22448</v>
      </c>
      <c r="J183" s="39">
        <v>0.69556899999999999</v>
      </c>
      <c r="K183" s="39">
        <v>9.8811169999999997</v>
      </c>
      <c r="L183" s="39">
        <v>7.4699999999999996E-6</v>
      </c>
      <c r="M183" s="39">
        <v>2.5340000000000001E-2</v>
      </c>
      <c r="N183" s="39">
        <v>8.1899999999999996E-4</v>
      </c>
      <c r="O183" s="39">
        <v>5.5123999999999999E-2</v>
      </c>
      <c r="P183" s="49"/>
    </row>
    <row r="184" spans="4:16">
      <c r="D184" s="47"/>
      <c r="E184" s="39">
        <v>6</v>
      </c>
      <c r="F184" s="39">
        <v>300</v>
      </c>
      <c r="G184" s="39">
        <v>4</v>
      </c>
      <c r="H184" s="39" t="s">
        <v>3</v>
      </c>
      <c r="I184" s="39">
        <v>33.485810000000001</v>
      </c>
      <c r="J184" s="39">
        <v>0.65260700000000005</v>
      </c>
      <c r="K184" s="39">
        <v>6.7235180000000003</v>
      </c>
      <c r="L184" s="39">
        <v>2.7700000000000002E-6</v>
      </c>
      <c r="M184" s="39">
        <v>3.8602999999999998E-2</v>
      </c>
      <c r="N184" s="39">
        <v>2.3149999999999998E-3</v>
      </c>
      <c r="O184" s="39">
        <v>9.8022999999999999E-2</v>
      </c>
      <c r="P184" s="49"/>
    </row>
    <row r="185" spans="4:16">
      <c r="D185" s="47"/>
      <c r="E185" s="39">
        <v>6</v>
      </c>
      <c r="F185" s="39">
        <v>300</v>
      </c>
      <c r="G185" s="39">
        <v>5</v>
      </c>
      <c r="H185" s="39" t="s">
        <v>4</v>
      </c>
      <c r="I185" s="39">
        <v>36.772179999999999</v>
      </c>
      <c r="J185" s="39">
        <v>0.653111</v>
      </c>
      <c r="K185" s="39">
        <v>6.8485940000000003</v>
      </c>
      <c r="L185" s="39">
        <v>1.13E-5</v>
      </c>
      <c r="M185" s="39">
        <v>3.4137000000000001E-2</v>
      </c>
      <c r="N185" s="39">
        <v>1.9090000000000001E-3</v>
      </c>
      <c r="O185" s="39">
        <v>5.5316999999999998E-2</v>
      </c>
      <c r="P185" s="49"/>
    </row>
    <row r="186" spans="4:16">
      <c r="D186" s="47"/>
      <c r="E186" s="39">
        <v>6</v>
      </c>
      <c r="F186" s="39">
        <v>300</v>
      </c>
      <c r="G186" s="39">
        <v>6</v>
      </c>
      <c r="H186" s="39" t="s">
        <v>5</v>
      </c>
      <c r="I186" s="39">
        <v>46.584440000000001</v>
      </c>
      <c r="J186" s="39">
        <v>0.66954599999999997</v>
      </c>
      <c r="K186" s="39">
        <v>4.9859330000000002</v>
      </c>
      <c r="L186" s="39">
        <v>8.2300000000000008E-6</v>
      </c>
      <c r="M186" s="39">
        <v>4.0113999999999997E-2</v>
      </c>
      <c r="N186" s="39">
        <v>1.8320000000000001E-3</v>
      </c>
      <c r="O186" s="39">
        <v>6.4464999999999995E-2</v>
      </c>
      <c r="P186" s="49"/>
    </row>
    <row r="187" spans="4:16">
      <c r="D187" s="47"/>
      <c r="E187" s="39">
        <v>6</v>
      </c>
      <c r="F187" s="39">
        <v>300</v>
      </c>
      <c r="G187" s="39">
        <v>7</v>
      </c>
      <c r="H187" s="39" t="s">
        <v>6</v>
      </c>
      <c r="I187" s="39">
        <v>53.827809999999999</v>
      </c>
      <c r="J187" s="39">
        <v>0.59789999999999999</v>
      </c>
      <c r="K187" s="39">
        <v>7.4554790000000004</v>
      </c>
      <c r="L187" s="39">
        <v>8.3299999999999999E-6</v>
      </c>
      <c r="M187" s="39">
        <v>3.5094E-2</v>
      </c>
      <c r="N187" s="39">
        <v>1.7030000000000001E-3</v>
      </c>
      <c r="O187" s="39">
        <v>4.7740999999999999E-2</v>
      </c>
      <c r="P187" s="49"/>
    </row>
    <row r="188" spans="4:16">
      <c r="D188" s="47"/>
      <c r="E188" s="39">
        <v>6</v>
      </c>
      <c r="F188" s="39">
        <v>300</v>
      </c>
      <c r="G188" s="39">
        <v>8</v>
      </c>
      <c r="H188" s="39" t="s">
        <v>7</v>
      </c>
      <c r="I188" s="39">
        <v>79.985849999999999</v>
      </c>
      <c r="J188" s="39">
        <v>0.34908899999999998</v>
      </c>
      <c r="K188" s="39">
        <v>8.0942190000000007</v>
      </c>
      <c r="L188" s="39">
        <v>8.7499999999999992E-6</v>
      </c>
      <c r="M188" s="39">
        <v>6.3419000000000003E-2</v>
      </c>
      <c r="N188" s="39">
        <v>3.59E-4</v>
      </c>
      <c r="O188" s="39">
        <v>3.5841999999999999E-2</v>
      </c>
      <c r="P188" s="49"/>
    </row>
    <row r="189" spans="4:16">
      <c r="D189" s="47"/>
      <c r="E189" s="39">
        <v>6</v>
      </c>
      <c r="F189" s="39">
        <v>300</v>
      </c>
      <c r="G189" s="39">
        <v>9</v>
      </c>
      <c r="H189" s="39" t="s">
        <v>8</v>
      </c>
      <c r="I189" s="39">
        <v>121.3877</v>
      </c>
      <c r="J189" s="39">
        <v>0.53997899999999999</v>
      </c>
      <c r="K189" s="39">
        <v>6.1087980000000002</v>
      </c>
      <c r="L189" s="39">
        <v>-1.0000000000000001E-5</v>
      </c>
      <c r="M189" s="39">
        <v>5.5529000000000002E-2</v>
      </c>
      <c r="N189" s="39">
        <v>8.0699999999999999E-4</v>
      </c>
      <c r="O189" s="39">
        <v>2.1104000000000001E-2</v>
      </c>
      <c r="P189" s="49"/>
    </row>
    <row r="190" spans="4:16">
      <c r="D190" s="47"/>
      <c r="E190" s="39">
        <v>6</v>
      </c>
      <c r="F190" s="39">
        <v>300</v>
      </c>
      <c r="G190" s="39">
        <v>10</v>
      </c>
      <c r="H190" s="39" t="s">
        <v>9</v>
      </c>
      <c r="I190" s="39">
        <v>106.1258</v>
      </c>
      <c r="J190" s="39">
        <v>0.33636500000000003</v>
      </c>
      <c r="K190" s="39">
        <v>7.4316089999999999</v>
      </c>
      <c r="L190" s="39">
        <v>8.8200000000000003E-6</v>
      </c>
      <c r="M190" s="39">
        <v>7.4662999999999993E-2</v>
      </c>
      <c r="N190" s="39">
        <v>1.1600000000000001E-5</v>
      </c>
      <c r="O190" s="39">
        <v>2.8650999999999999E-2</v>
      </c>
      <c r="P190" s="49"/>
    </row>
    <row r="191" spans="4:16">
      <c r="D191" s="47"/>
      <c r="E191" s="39">
        <v>6</v>
      </c>
      <c r="F191" s="39">
        <v>300</v>
      </c>
      <c r="G191" s="39">
        <v>11</v>
      </c>
      <c r="H191" s="39" t="s">
        <v>10</v>
      </c>
      <c r="I191" s="39">
        <v>117.86320000000001</v>
      </c>
      <c r="J191" s="39">
        <v>0.32530900000000001</v>
      </c>
      <c r="K191" s="39">
        <v>7.2396370000000001</v>
      </c>
      <c r="L191" s="39">
        <v>1.38E-5</v>
      </c>
      <c r="M191" s="39">
        <v>7.2274000000000005E-2</v>
      </c>
      <c r="N191" s="39">
        <v>8.7100000000000003E-5</v>
      </c>
      <c r="O191" s="39">
        <v>2.4535999999999999E-2</v>
      </c>
      <c r="P191" s="49"/>
    </row>
    <row r="192" spans="4:16">
      <c r="D192" s="47"/>
      <c r="E192" s="39">
        <v>6</v>
      </c>
      <c r="F192" s="39">
        <v>300</v>
      </c>
      <c r="G192" s="39">
        <v>12</v>
      </c>
      <c r="H192" s="39" t="s">
        <v>11</v>
      </c>
      <c r="I192" s="39">
        <v>129.4914</v>
      </c>
      <c r="J192" s="39">
        <v>0.316251</v>
      </c>
      <c r="K192" s="39">
        <v>6.8859159999999999</v>
      </c>
      <c r="L192" s="39">
        <v>1.3200000000000001E-5</v>
      </c>
      <c r="M192" s="39">
        <v>7.2215000000000001E-2</v>
      </c>
      <c r="N192" s="39">
        <v>5.6100000000000002E-5</v>
      </c>
      <c r="O192" s="39">
        <v>2.2418E-2</v>
      </c>
      <c r="P192" s="49"/>
    </row>
    <row r="193" spans="4:16">
      <c r="D193" s="47"/>
      <c r="E193" s="39">
        <v>6</v>
      </c>
      <c r="F193" s="39">
        <v>300</v>
      </c>
      <c r="G193" s="39">
        <v>13</v>
      </c>
      <c r="H193" s="39" t="s">
        <v>12</v>
      </c>
      <c r="I193" s="39">
        <v>143.56870000000001</v>
      </c>
      <c r="J193" s="39">
        <v>0.306699</v>
      </c>
      <c r="K193" s="39">
        <v>5.9610260000000004</v>
      </c>
      <c r="L193" s="39">
        <v>1.38E-5</v>
      </c>
      <c r="M193" s="39">
        <v>6.5879999999999994E-2</v>
      </c>
      <c r="N193" s="39">
        <v>-1.9000000000000001E-4</v>
      </c>
      <c r="O193" s="39">
        <v>1.9911000000000002E-2</v>
      </c>
      <c r="P193" s="49"/>
    </row>
    <row r="194" spans="4:16">
      <c r="D194" s="47"/>
      <c r="E194" s="39">
        <v>6</v>
      </c>
      <c r="F194" s="39">
        <v>300</v>
      </c>
      <c r="G194" s="39">
        <v>14</v>
      </c>
      <c r="H194" s="39" t="s">
        <v>14</v>
      </c>
      <c r="I194" s="39">
        <v>161.25380000000001</v>
      </c>
      <c r="J194" s="39">
        <v>0.29754700000000001</v>
      </c>
      <c r="K194" s="39">
        <v>5.9595409999999998</v>
      </c>
      <c r="L194" s="39">
        <v>8.6000000000000007E-6</v>
      </c>
      <c r="M194" s="39">
        <v>7.2075E-2</v>
      </c>
      <c r="N194" s="39">
        <v>-9.3999999999999994E-5</v>
      </c>
      <c r="O194" s="39">
        <v>1.7656000000000002E-2</v>
      </c>
      <c r="P194" s="49"/>
    </row>
    <row r="195" spans="4:16">
      <c r="D195" s="47"/>
      <c r="E195" s="39">
        <v>6</v>
      </c>
      <c r="F195" s="39">
        <v>300</v>
      </c>
      <c r="G195" s="39">
        <v>15</v>
      </c>
      <c r="H195" s="39" t="s">
        <v>15</v>
      </c>
      <c r="I195" s="39">
        <v>158.66050000000001</v>
      </c>
      <c r="J195" s="39">
        <v>0.29421599999999998</v>
      </c>
      <c r="K195" s="39">
        <v>6.0073040000000004</v>
      </c>
      <c r="L195" s="39">
        <v>1.26E-5</v>
      </c>
      <c r="M195" s="39">
        <v>6.9503999999999996E-2</v>
      </c>
      <c r="N195" s="39">
        <v>-9.7999999999999997E-5</v>
      </c>
      <c r="O195" s="39">
        <v>1.8246999999999999E-2</v>
      </c>
      <c r="P195" s="49"/>
    </row>
    <row r="196" spans="4:16">
      <c r="D196" s="47"/>
      <c r="E196" s="39">
        <v>6</v>
      </c>
      <c r="F196" s="39">
        <v>300</v>
      </c>
      <c r="G196" s="39">
        <v>16</v>
      </c>
      <c r="H196" s="39" t="s">
        <v>16</v>
      </c>
      <c r="I196" s="39">
        <v>208.91249999999999</v>
      </c>
      <c r="J196" s="39">
        <v>0.29372300000000001</v>
      </c>
      <c r="K196" s="39">
        <v>5.348433</v>
      </c>
      <c r="L196" s="39">
        <v>1.2300000000000001E-6</v>
      </c>
      <c r="M196" s="39">
        <v>7.1115999999999999E-2</v>
      </c>
      <c r="N196" s="39">
        <v>-1.4999999999999999E-4</v>
      </c>
      <c r="O196" s="39">
        <v>1.3535E-2</v>
      </c>
      <c r="P196" s="49"/>
    </row>
    <row r="197" spans="4:16">
      <c r="D197" s="47"/>
      <c r="E197" s="39">
        <v>6</v>
      </c>
      <c r="F197" s="39">
        <v>300</v>
      </c>
      <c r="G197" s="39">
        <v>17</v>
      </c>
      <c r="H197" s="39" t="s">
        <v>17</v>
      </c>
      <c r="I197" s="39">
        <v>241.26339999999999</v>
      </c>
      <c r="J197" s="39">
        <v>0.32745200000000002</v>
      </c>
      <c r="K197" s="39">
        <v>5.4220620000000004</v>
      </c>
      <c r="L197" s="39">
        <v>-5.0000000000000004E-6</v>
      </c>
      <c r="M197" s="39">
        <v>7.2303000000000006E-2</v>
      </c>
      <c r="N197" s="39">
        <v>3.4600000000000001E-5</v>
      </c>
      <c r="O197" s="39">
        <v>1.1523E-2</v>
      </c>
      <c r="P197" s="49"/>
    </row>
    <row r="198" spans="4:16">
      <c r="D198" s="47"/>
      <c r="E198" s="39">
        <v>6</v>
      </c>
      <c r="F198" s="39">
        <v>300</v>
      </c>
      <c r="G198" s="39">
        <v>18</v>
      </c>
      <c r="H198" s="39" t="s">
        <v>18</v>
      </c>
      <c r="I198" s="39">
        <v>247.7097</v>
      </c>
      <c r="J198" s="39">
        <v>0.231323</v>
      </c>
      <c r="K198" s="39">
        <v>5.600193</v>
      </c>
      <c r="L198" s="39">
        <v>1.5699999999999999E-5</v>
      </c>
      <c r="M198" s="39">
        <v>6.8852999999999998E-2</v>
      </c>
      <c r="N198" s="39">
        <v>-2.3000000000000001E-4</v>
      </c>
      <c r="O198" s="39">
        <v>1.1343000000000001E-2</v>
      </c>
      <c r="P198" s="49"/>
    </row>
    <row r="199" spans="4:16">
      <c r="D199" s="47"/>
      <c r="E199" s="39">
        <v>6</v>
      </c>
      <c r="F199" s="39">
        <v>300</v>
      </c>
      <c r="G199" s="39">
        <v>19</v>
      </c>
      <c r="H199" s="39" t="s">
        <v>19</v>
      </c>
      <c r="I199" s="39">
        <v>283.29700000000003</v>
      </c>
      <c r="J199" s="39">
        <v>0.20180200000000001</v>
      </c>
      <c r="K199" s="39">
        <v>5.8332490000000004</v>
      </c>
      <c r="L199" s="39">
        <v>2.8099999999999999E-5</v>
      </c>
      <c r="M199" s="39">
        <v>6.8569000000000005E-2</v>
      </c>
      <c r="N199" s="39">
        <v>-2.2000000000000001E-4</v>
      </c>
      <c r="O199" s="39">
        <v>1.0028E-2</v>
      </c>
      <c r="P199" s="49"/>
    </row>
    <row r="200" spans="4:16">
      <c r="D200" s="47"/>
      <c r="E200" s="39">
        <v>6</v>
      </c>
      <c r="F200" s="39">
        <v>300</v>
      </c>
      <c r="G200" s="39">
        <v>20</v>
      </c>
      <c r="H200" s="39" t="s">
        <v>20</v>
      </c>
      <c r="I200" s="39">
        <v>293.11989999999997</v>
      </c>
      <c r="J200" s="39">
        <v>0.18390500000000001</v>
      </c>
      <c r="K200" s="39">
        <v>5.6457769999999998</v>
      </c>
      <c r="L200" s="39">
        <v>3.2799999999999998E-5</v>
      </c>
      <c r="M200" s="39">
        <v>6.7041000000000003E-2</v>
      </c>
      <c r="N200" s="39">
        <v>-2.7E-4</v>
      </c>
      <c r="O200" s="39">
        <v>9.7689999999999999E-3</v>
      </c>
      <c r="P200" s="49"/>
    </row>
    <row r="201" spans="4:16">
      <c r="D201" s="47"/>
      <c r="E201" s="50"/>
      <c r="F201" s="50"/>
      <c r="G201" s="50"/>
      <c r="H201" s="50"/>
      <c r="I201" s="50"/>
      <c r="J201" s="50"/>
      <c r="K201" s="50"/>
      <c r="L201" s="50"/>
      <c r="M201" s="50"/>
      <c r="N201" s="50"/>
      <c r="O201" s="50"/>
      <c r="P201" s="49"/>
    </row>
    <row r="202" spans="4:16">
      <c r="D202" s="47"/>
      <c r="E202" s="22" t="s">
        <v>21</v>
      </c>
      <c r="F202" s="22" t="s">
        <v>22</v>
      </c>
      <c r="G202" s="22"/>
      <c r="H202" s="22" t="s">
        <v>13</v>
      </c>
      <c r="I202" s="22" t="s">
        <v>27</v>
      </c>
      <c r="J202" s="22" t="s">
        <v>28</v>
      </c>
      <c r="K202" s="22" t="s">
        <v>29</v>
      </c>
      <c r="L202" s="22" t="s">
        <v>30</v>
      </c>
      <c r="M202" s="22" t="s">
        <v>31</v>
      </c>
      <c r="N202" s="22" t="s">
        <v>32</v>
      </c>
      <c r="O202" s="22" t="s">
        <v>33</v>
      </c>
      <c r="P202" s="49"/>
    </row>
    <row r="203" spans="4:16">
      <c r="D203" s="47"/>
      <c r="E203" s="39">
        <v>8</v>
      </c>
      <c r="F203" s="39">
        <v>20</v>
      </c>
      <c r="G203" s="39">
        <v>1</v>
      </c>
      <c r="H203" s="39" t="s">
        <v>0</v>
      </c>
      <c r="I203" s="39">
        <v>22.32029</v>
      </c>
      <c r="J203" s="39">
        <v>0.638351</v>
      </c>
      <c r="K203" s="39">
        <v>8.4575619999999994</v>
      </c>
      <c r="L203" s="39">
        <v>1.2300000000000001E-5</v>
      </c>
      <c r="M203" s="39">
        <v>2.7831000000000002E-2</v>
      </c>
      <c r="N203" s="39">
        <v>7.7800000000000005E-4</v>
      </c>
      <c r="O203" s="39">
        <v>0.143898</v>
      </c>
      <c r="P203" s="49"/>
    </row>
    <row r="204" spans="4:16">
      <c r="D204" s="47"/>
      <c r="E204" s="39">
        <v>8</v>
      </c>
      <c r="F204" s="39">
        <v>20</v>
      </c>
      <c r="G204" s="39">
        <v>2</v>
      </c>
      <c r="H204" s="39" t="s">
        <v>1</v>
      </c>
      <c r="I204" s="39">
        <v>29.547080000000001</v>
      </c>
      <c r="J204" s="39">
        <v>0.64792099999999997</v>
      </c>
      <c r="K204" s="39">
        <v>9.6066109999999991</v>
      </c>
      <c r="L204" s="39">
        <v>7.5000000000000002E-6</v>
      </c>
      <c r="M204" s="39">
        <v>2.5998E-2</v>
      </c>
      <c r="N204" s="39">
        <v>8.8500000000000004E-4</v>
      </c>
      <c r="O204" s="39">
        <v>0.118559</v>
      </c>
      <c r="P204" s="49"/>
    </row>
    <row r="205" spans="4:16">
      <c r="D205" s="47"/>
      <c r="E205" s="39">
        <v>8</v>
      </c>
      <c r="F205" s="39">
        <v>20</v>
      </c>
      <c r="G205" s="39">
        <v>3</v>
      </c>
      <c r="H205" s="39" t="s">
        <v>2</v>
      </c>
      <c r="I205" s="39">
        <v>38.528599999999997</v>
      </c>
      <c r="J205" s="39">
        <v>0.66870499999999999</v>
      </c>
      <c r="K205" s="39">
        <v>10.234590000000001</v>
      </c>
      <c r="L205" s="39">
        <v>6.1500000000000004E-6</v>
      </c>
      <c r="M205" s="39">
        <v>2.3210000000000001E-2</v>
      </c>
      <c r="N205" s="39">
        <v>9.5E-4</v>
      </c>
      <c r="O205" s="39">
        <v>8.6985999999999994E-2</v>
      </c>
      <c r="P205" s="49"/>
    </row>
    <row r="206" spans="4:16">
      <c r="D206" s="47"/>
      <c r="E206" s="39">
        <v>8</v>
      </c>
      <c r="F206" s="39">
        <v>20</v>
      </c>
      <c r="G206" s="39">
        <v>4</v>
      </c>
      <c r="H206" s="39" t="s">
        <v>3</v>
      </c>
      <c r="I206" s="39">
        <v>34.397069999999999</v>
      </c>
      <c r="J206" s="39">
        <v>0.66520299999999999</v>
      </c>
      <c r="K206" s="39">
        <v>6.1687529999999997</v>
      </c>
      <c r="L206" s="39">
        <v>-2.5000000000000002E-6</v>
      </c>
      <c r="M206" s="39">
        <v>3.7322000000000001E-2</v>
      </c>
      <c r="N206" s="39">
        <v>2.2959999999999999E-3</v>
      </c>
      <c r="O206" s="39">
        <v>0.122428</v>
      </c>
      <c r="P206" s="49"/>
    </row>
    <row r="207" spans="4:16">
      <c r="D207" s="47"/>
      <c r="E207" s="39">
        <v>8</v>
      </c>
      <c r="F207" s="39">
        <v>20</v>
      </c>
      <c r="G207" s="39">
        <v>5</v>
      </c>
      <c r="H207" s="39" t="s">
        <v>4</v>
      </c>
      <c r="I207" s="39">
        <v>37.446640000000002</v>
      </c>
      <c r="J207" s="39">
        <v>0.65381599999999995</v>
      </c>
      <c r="K207" s="39">
        <v>6.2749189999999997</v>
      </c>
      <c r="L207" s="39">
        <v>3.18E-6</v>
      </c>
      <c r="M207" s="39">
        <v>3.2932999999999997E-2</v>
      </c>
      <c r="N207" s="39">
        <v>1.9469999999999999E-3</v>
      </c>
      <c r="O207" s="39">
        <v>8.3960999999999994E-2</v>
      </c>
      <c r="P207" s="49"/>
    </row>
    <row r="208" spans="4:16">
      <c r="D208" s="47"/>
      <c r="E208" s="39">
        <v>8</v>
      </c>
      <c r="F208" s="39">
        <v>20</v>
      </c>
      <c r="G208" s="39">
        <v>6</v>
      </c>
      <c r="H208" s="39" t="s">
        <v>5</v>
      </c>
      <c r="I208" s="39">
        <v>48.324190000000002</v>
      </c>
      <c r="J208" s="39">
        <v>0.63358099999999995</v>
      </c>
      <c r="K208" s="39">
        <v>5.2055660000000001</v>
      </c>
      <c r="L208" s="39">
        <v>6.1299999999999998E-6</v>
      </c>
      <c r="M208" s="39">
        <v>3.8719000000000003E-2</v>
      </c>
      <c r="N208" s="39">
        <v>1.833E-3</v>
      </c>
      <c r="O208" s="39">
        <v>8.9416999999999996E-2</v>
      </c>
      <c r="P208" s="49"/>
    </row>
    <row r="209" spans="4:16">
      <c r="D209" s="47"/>
      <c r="E209" s="39">
        <v>8</v>
      </c>
      <c r="F209" s="39">
        <v>20</v>
      </c>
      <c r="G209" s="39">
        <v>7</v>
      </c>
      <c r="H209" s="39" t="s">
        <v>6</v>
      </c>
      <c r="I209" s="39">
        <v>55.73066</v>
      </c>
      <c r="J209" s="39">
        <v>0.55671499999999996</v>
      </c>
      <c r="K209" s="39">
        <v>7.6472879999999996</v>
      </c>
      <c r="L209" s="39">
        <v>6.7599999999999997E-6</v>
      </c>
      <c r="M209" s="39">
        <v>3.3555000000000001E-2</v>
      </c>
      <c r="N209" s="39">
        <v>1.7309999999999999E-3</v>
      </c>
      <c r="O209" s="39">
        <v>6.2743999999999994E-2</v>
      </c>
      <c r="P209" s="49"/>
    </row>
    <row r="210" spans="4:16">
      <c r="D210" s="47"/>
      <c r="E210" s="39">
        <v>8</v>
      </c>
      <c r="F210" s="39">
        <v>20</v>
      </c>
      <c r="G210" s="39">
        <v>8</v>
      </c>
      <c r="H210" s="39" t="s">
        <v>7</v>
      </c>
      <c r="I210" s="39">
        <v>87.044160000000005</v>
      </c>
      <c r="J210" s="39">
        <v>0.32662799999999997</v>
      </c>
      <c r="K210" s="39">
        <v>7.8407150000000003</v>
      </c>
      <c r="L210" s="39">
        <v>-8.2000000000000006E-8</v>
      </c>
      <c r="M210" s="39">
        <v>5.8713000000000001E-2</v>
      </c>
      <c r="N210" s="39">
        <v>3.7300000000000001E-4</v>
      </c>
      <c r="O210" s="39">
        <v>4.5384000000000001E-2</v>
      </c>
      <c r="P210" s="49"/>
    </row>
    <row r="211" spans="4:16">
      <c r="D211" s="47"/>
      <c r="E211" s="39">
        <v>8</v>
      </c>
      <c r="F211" s="39">
        <v>20</v>
      </c>
      <c r="G211" s="39">
        <v>9</v>
      </c>
      <c r="H211" s="39" t="s">
        <v>8</v>
      </c>
      <c r="I211" s="39">
        <v>130.92590000000001</v>
      </c>
      <c r="J211" s="39">
        <v>0.51756899999999995</v>
      </c>
      <c r="K211" s="39">
        <v>5.3742089999999996</v>
      </c>
      <c r="L211" s="39">
        <v>-1.9000000000000001E-5</v>
      </c>
      <c r="M211" s="39">
        <v>5.2479999999999999E-2</v>
      </c>
      <c r="N211" s="39">
        <v>7.2099999999999996E-4</v>
      </c>
      <c r="O211" s="39">
        <v>2.7005999999999999E-2</v>
      </c>
      <c r="P211" s="49"/>
    </row>
    <row r="212" spans="4:16">
      <c r="D212" s="47"/>
      <c r="E212" s="39">
        <v>8</v>
      </c>
      <c r="F212" s="39">
        <v>20</v>
      </c>
      <c r="G212" s="39">
        <v>10</v>
      </c>
      <c r="H212" s="39" t="s">
        <v>9</v>
      </c>
      <c r="I212" s="39">
        <v>114.7653</v>
      </c>
      <c r="J212" s="39">
        <v>0.27157599999999998</v>
      </c>
      <c r="K212" s="39">
        <v>8.3297019999999993</v>
      </c>
      <c r="L212" s="39">
        <v>2.7499999999999999E-6</v>
      </c>
      <c r="M212" s="39">
        <v>7.6418E-2</v>
      </c>
      <c r="N212" s="39">
        <v>-2.9999999999999997E-4</v>
      </c>
      <c r="O212" s="39">
        <v>3.5503E-2</v>
      </c>
      <c r="P212" s="49"/>
    </row>
    <row r="213" spans="4:16">
      <c r="D213" s="47"/>
      <c r="E213" s="39">
        <v>8</v>
      </c>
      <c r="F213" s="39">
        <v>20</v>
      </c>
      <c r="G213" s="39">
        <v>11</v>
      </c>
      <c r="H213" s="39" t="s">
        <v>10</v>
      </c>
      <c r="I213" s="39">
        <v>126.5033</v>
      </c>
      <c r="J213" s="39">
        <v>0.28434500000000001</v>
      </c>
      <c r="K213" s="39">
        <v>7.5731630000000001</v>
      </c>
      <c r="L213" s="39">
        <v>4.6199999999999998E-6</v>
      </c>
      <c r="M213" s="39">
        <v>7.4210999999999999E-2</v>
      </c>
      <c r="N213" s="39">
        <v>-2.2000000000000001E-4</v>
      </c>
      <c r="O213" s="39">
        <v>3.0814000000000001E-2</v>
      </c>
      <c r="P213" s="49"/>
    </row>
    <row r="214" spans="4:16">
      <c r="D214" s="47"/>
      <c r="E214" s="39">
        <v>8</v>
      </c>
      <c r="F214" s="39">
        <v>20</v>
      </c>
      <c r="G214" s="39">
        <v>12</v>
      </c>
      <c r="H214" s="39" t="s">
        <v>11</v>
      </c>
      <c r="I214" s="39">
        <v>139.87350000000001</v>
      </c>
      <c r="J214" s="39">
        <v>0.27908100000000002</v>
      </c>
      <c r="K214" s="39">
        <v>7.0453950000000001</v>
      </c>
      <c r="L214" s="39">
        <v>3.54E-6</v>
      </c>
      <c r="M214" s="39">
        <v>7.3405999999999999E-2</v>
      </c>
      <c r="N214" s="39">
        <v>-2.4000000000000001E-4</v>
      </c>
      <c r="O214" s="39">
        <v>2.81E-2</v>
      </c>
      <c r="P214" s="49"/>
    </row>
    <row r="215" spans="4:16">
      <c r="D215" s="47"/>
      <c r="E215" s="39">
        <v>8</v>
      </c>
      <c r="F215" s="39">
        <v>20</v>
      </c>
      <c r="G215" s="39">
        <v>13</v>
      </c>
      <c r="H215" s="39" t="s">
        <v>12</v>
      </c>
      <c r="I215" s="39">
        <v>157.95439999999999</v>
      </c>
      <c r="J215" s="39">
        <v>0.222609</v>
      </c>
      <c r="K215" s="39">
        <v>6.5961059999999998</v>
      </c>
      <c r="L215" s="39">
        <v>1.08E-5</v>
      </c>
      <c r="M215" s="39">
        <v>6.6896999999999998E-2</v>
      </c>
      <c r="N215" s="39">
        <v>-4.8000000000000001E-4</v>
      </c>
      <c r="O215" s="39">
        <v>2.4937000000000001E-2</v>
      </c>
      <c r="P215" s="49"/>
    </row>
    <row r="216" spans="4:16">
      <c r="D216" s="47"/>
      <c r="E216" s="39">
        <v>8</v>
      </c>
      <c r="F216" s="39">
        <v>20</v>
      </c>
      <c r="G216" s="39">
        <v>14</v>
      </c>
      <c r="H216" s="39" t="s">
        <v>14</v>
      </c>
      <c r="I216" s="39">
        <v>178.67840000000001</v>
      </c>
      <c r="J216" s="39">
        <v>0.21588399999999999</v>
      </c>
      <c r="K216" s="39">
        <v>6.5657310000000004</v>
      </c>
      <c r="L216" s="39">
        <v>6.81E-6</v>
      </c>
      <c r="M216" s="39">
        <v>7.1298E-2</v>
      </c>
      <c r="N216" s="39">
        <v>-3.3E-4</v>
      </c>
      <c r="O216" s="39">
        <v>2.1873E-2</v>
      </c>
      <c r="P216" s="49"/>
    </row>
    <row r="217" spans="4:16">
      <c r="D217" s="47"/>
      <c r="E217" s="39">
        <v>8</v>
      </c>
      <c r="F217" s="39">
        <v>20</v>
      </c>
      <c r="G217" s="39">
        <v>15</v>
      </c>
      <c r="H217" s="39" t="s">
        <v>15</v>
      </c>
      <c r="I217" s="39">
        <v>174.9632</v>
      </c>
      <c r="J217" s="39">
        <v>0.21401200000000001</v>
      </c>
      <c r="K217" s="39">
        <v>6.557188</v>
      </c>
      <c r="L217" s="39">
        <v>9.1300000000000007E-6</v>
      </c>
      <c r="M217" s="39">
        <v>7.0041000000000006E-2</v>
      </c>
      <c r="N217" s="39">
        <v>-3.6999999999999999E-4</v>
      </c>
      <c r="O217" s="39">
        <v>2.2825000000000002E-2</v>
      </c>
      <c r="P217" s="49"/>
    </row>
    <row r="218" spans="4:16">
      <c r="D218" s="47"/>
      <c r="E218" s="39">
        <v>8</v>
      </c>
      <c r="F218" s="39">
        <v>20</v>
      </c>
      <c r="G218" s="39">
        <v>16</v>
      </c>
      <c r="H218" s="39" t="s">
        <v>16</v>
      </c>
      <c r="I218" s="39">
        <v>238.41829999999999</v>
      </c>
      <c r="J218" s="39">
        <v>0.16072400000000001</v>
      </c>
      <c r="K218" s="39">
        <v>6.3714680000000001</v>
      </c>
      <c r="L218" s="39">
        <v>1.6200000000000001E-5</v>
      </c>
      <c r="M218" s="39">
        <v>6.8294999999999995E-2</v>
      </c>
      <c r="N218" s="39">
        <v>-3.6999999999999999E-4</v>
      </c>
      <c r="O218" s="39">
        <v>1.6513E-2</v>
      </c>
      <c r="P218" s="49"/>
    </row>
    <row r="219" spans="4:16">
      <c r="D219" s="47"/>
      <c r="E219" s="39">
        <v>8</v>
      </c>
      <c r="F219" s="39">
        <v>20</v>
      </c>
      <c r="G219" s="39">
        <v>17</v>
      </c>
      <c r="H219" s="39" t="s">
        <v>17</v>
      </c>
      <c r="I219" s="39">
        <v>274.77510000000001</v>
      </c>
      <c r="J219" s="39">
        <v>0.19064700000000001</v>
      </c>
      <c r="K219" s="39">
        <v>6.5113989999999999</v>
      </c>
      <c r="L219" s="39">
        <v>1.4399999999999999E-5</v>
      </c>
      <c r="M219" s="39">
        <v>6.8886000000000003E-2</v>
      </c>
      <c r="N219" s="39">
        <v>-1.9000000000000001E-4</v>
      </c>
      <c r="O219" s="39">
        <v>1.4052E-2</v>
      </c>
      <c r="P219" s="49"/>
    </row>
    <row r="220" spans="4:16">
      <c r="D220" s="47"/>
      <c r="E220" s="39">
        <v>8</v>
      </c>
      <c r="F220" s="39">
        <v>20</v>
      </c>
      <c r="G220" s="39">
        <v>18</v>
      </c>
      <c r="H220" s="39" t="s">
        <v>18</v>
      </c>
      <c r="I220" s="39">
        <v>287.29379999999998</v>
      </c>
      <c r="J220" s="39">
        <v>9.3365000000000004E-2</v>
      </c>
      <c r="K220" s="39">
        <v>6.2697760000000002</v>
      </c>
      <c r="L220" s="39">
        <v>4.18E-5</v>
      </c>
      <c r="M220" s="39">
        <v>6.5126000000000003E-2</v>
      </c>
      <c r="N220" s="39">
        <v>-4.2999999999999999E-4</v>
      </c>
      <c r="O220" s="39">
        <v>1.3729999999999999E-2</v>
      </c>
      <c r="P220" s="49"/>
    </row>
    <row r="221" spans="4:16">
      <c r="D221" s="47"/>
      <c r="E221" s="39">
        <v>8</v>
      </c>
      <c r="F221" s="39">
        <v>20</v>
      </c>
      <c r="G221" s="39">
        <v>19</v>
      </c>
      <c r="H221" s="39" t="s">
        <v>19</v>
      </c>
      <c r="I221" s="39">
        <v>330.09789999999998</v>
      </c>
      <c r="J221" s="39">
        <v>5.7983E-2</v>
      </c>
      <c r="K221" s="39">
        <v>6.3504940000000003</v>
      </c>
      <c r="L221" s="39">
        <v>6.3E-5</v>
      </c>
      <c r="M221" s="39">
        <v>6.472E-2</v>
      </c>
      <c r="N221" s="39">
        <v>-4.2999999999999999E-4</v>
      </c>
      <c r="O221" s="39">
        <v>1.2193000000000001E-2</v>
      </c>
      <c r="P221" s="49"/>
    </row>
    <row r="222" spans="4:16">
      <c r="D222" s="47"/>
      <c r="E222" s="39">
        <v>8</v>
      </c>
      <c r="F222" s="39">
        <v>20</v>
      </c>
      <c r="G222" s="39">
        <v>20</v>
      </c>
      <c r="H222" s="39" t="s">
        <v>20</v>
      </c>
      <c r="I222" s="39">
        <v>342.85969999999998</v>
      </c>
      <c r="J222" s="39">
        <v>4.4588999999999997E-2</v>
      </c>
      <c r="K222" s="39">
        <v>6.0637379999999999</v>
      </c>
      <c r="L222" s="39">
        <v>6.58E-5</v>
      </c>
      <c r="M222" s="39">
        <v>6.3090999999999994E-2</v>
      </c>
      <c r="N222" s="39">
        <v>-4.6000000000000001E-4</v>
      </c>
      <c r="O222" s="39">
        <v>1.1863E-2</v>
      </c>
      <c r="P222" s="49"/>
    </row>
    <row r="223" spans="4:16">
      <c r="D223" s="47"/>
      <c r="E223" s="50"/>
      <c r="F223" s="50"/>
      <c r="G223" s="50"/>
      <c r="H223" s="50"/>
      <c r="I223" s="50"/>
      <c r="J223" s="50"/>
      <c r="K223" s="50"/>
      <c r="L223" s="50"/>
      <c r="M223" s="50"/>
      <c r="N223" s="50"/>
      <c r="O223" s="50"/>
      <c r="P223" s="49"/>
    </row>
    <row r="224" spans="4:16">
      <c r="D224" s="47"/>
      <c r="E224" s="22" t="s">
        <v>21</v>
      </c>
      <c r="F224" s="22" t="s">
        <v>22</v>
      </c>
      <c r="G224" s="22"/>
      <c r="H224" s="22" t="s">
        <v>13</v>
      </c>
      <c r="I224" s="22" t="s">
        <v>27</v>
      </c>
      <c r="J224" s="22" t="s">
        <v>28</v>
      </c>
      <c r="K224" s="22" t="s">
        <v>29</v>
      </c>
      <c r="L224" s="22" t="s">
        <v>30</v>
      </c>
      <c r="M224" s="22" t="s">
        <v>31</v>
      </c>
      <c r="N224" s="22" t="s">
        <v>32</v>
      </c>
      <c r="O224" s="22" t="s">
        <v>33</v>
      </c>
      <c r="P224" s="49"/>
    </row>
    <row r="225" spans="4:16">
      <c r="D225" s="47"/>
      <c r="E225" s="39">
        <v>8</v>
      </c>
      <c r="F225" s="39">
        <v>120</v>
      </c>
      <c r="G225" s="39">
        <v>1</v>
      </c>
      <c r="H225" s="39" t="s">
        <v>0</v>
      </c>
      <c r="I225" s="39">
        <v>22.326969999999999</v>
      </c>
      <c r="J225" s="39">
        <v>0.64180700000000002</v>
      </c>
      <c r="K225" s="39">
        <v>8.2695150000000002</v>
      </c>
      <c r="L225" s="39">
        <v>1.13E-5</v>
      </c>
      <c r="M225" s="39">
        <v>2.8511999999999999E-2</v>
      </c>
      <c r="N225" s="39">
        <v>7.1900000000000002E-4</v>
      </c>
      <c r="O225" s="39">
        <v>0.14627299999999999</v>
      </c>
      <c r="P225" s="49"/>
    </row>
    <row r="226" spans="4:16">
      <c r="D226" s="47"/>
      <c r="E226" s="39">
        <v>8</v>
      </c>
      <c r="F226" s="39">
        <v>120</v>
      </c>
      <c r="G226" s="39">
        <v>2</v>
      </c>
      <c r="H226" s="39" t="s">
        <v>1</v>
      </c>
      <c r="I226" s="39">
        <v>29.564979999999998</v>
      </c>
      <c r="J226" s="39">
        <v>0.65096200000000004</v>
      </c>
      <c r="K226" s="39">
        <v>9.4199350000000006</v>
      </c>
      <c r="L226" s="39">
        <v>6.4899999999999997E-6</v>
      </c>
      <c r="M226" s="39">
        <v>2.6658000000000001E-2</v>
      </c>
      <c r="N226" s="39">
        <v>8.2799999999999996E-4</v>
      </c>
      <c r="O226" s="39">
        <v>0.12056500000000001</v>
      </c>
      <c r="P226" s="49"/>
    </row>
    <row r="227" spans="4:16">
      <c r="D227" s="47"/>
      <c r="E227" s="39">
        <v>8</v>
      </c>
      <c r="F227" s="39">
        <v>120</v>
      </c>
      <c r="G227" s="39">
        <v>3</v>
      </c>
      <c r="H227" s="39" t="s">
        <v>2</v>
      </c>
      <c r="I227" s="39">
        <v>38.569450000000003</v>
      </c>
      <c r="J227" s="39">
        <v>0.67069000000000001</v>
      </c>
      <c r="K227" s="39">
        <v>10.0717</v>
      </c>
      <c r="L227" s="39">
        <v>5.3900000000000001E-6</v>
      </c>
      <c r="M227" s="39">
        <v>2.3698E-2</v>
      </c>
      <c r="N227" s="39">
        <v>9.0300000000000005E-4</v>
      </c>
      <c r="O227" s="39">
        <v>8.863E-2</v>
      </c>
      <c r="P227" s="49"/>
    </row>
    <row r="228" spans="4:16">
      <c r="D228" s="47"/>
      <c r="E228" s="39">
        <v>8</v>
      </c>
      <c r="F228" s="39">
        <v>120</v>
      </c>
      <c r="G228" s="39">
        <v>4</v>
      </c>
      <c r="H228" s="39" t="s">
        <v>3</v>
      </c>
      <c r="I228" s="39">
        <v>34.417169999999999</v>
      </c>
      <c r="J228" s="39">
        <v>0.665134</v>
      </c>
      <c r="K228" s="39">
        <v>6.1145659999999999</v>
      </c>
      <c r="L228" s="39">
        <v>-2.7E-6</v>
      </c>
      <c r="M228" s="39">
        <v>3.7423999999999999E-2</v>
      </c>
      <c r="N228" s="39">
        <v>2.2829999999999999E-3</v>
      </c>
      <c r="O228" s="39">
        <v>0.12319099999999999</v>
      </c>
      <c r="P228" s="49"/>
    </row>
    <row r="229" spans="4:16">
      <c r="D229" s="47"/>
      <c r="E229" s="39">
        <v>8</v>
      </c>
      <c r="F229" s="39">
        <v>120</v>
      </c>
      <c r="G229" s="39">
        <v>5</v>
      </c>
      <c r="H229" s="39" t="s">
        <v>4</v>
      </c>
      <c r="I229" s="39">
        <v>37.48462</v>
      </c>
      <c r="J229" s="39">
        <v>0.652532</v>
      </c>
      <c r="K229" s="39">
        <v>6.1888629999999996</v>
      </c>
      <c r="L229" s="39">
        <v>2.8700000000000001E-6</v>
      </c>
      <c r="M229" s="39">
        <v>3.3189999999999997E-2</v>
      </c>
      <c r="N229" s="39">
        <v>1.918E-3</v>
      </c>
      <c r="O229" s="39">
        <v>8.5226999999999997E-2</v>
      </c>
      <c r="P229" s="49"/>
    </row>
    <row r="230" spans="4:16">
      <c r="D230" s="47"/>
      <c r="E230" s="39">
        <v>8</v>
      </c>
      <c r="F230" s="39">
        <v>120</v>
      </c>
      <c r="G230" s="39">
        <v>6</v>
      </c>
      <c r="H230" s="39" t="s">
        <v>5</v>
      </c>
      <c r="I230" s="39">
        <v>48.35548</v>
      </c>
      <c r="J230" s="39">
        <v>0.64252699999999996</v>
      </c>
      <c r="K230" s="39">
        <v>4.9537440000000004</v>
      </c>
      <c r="L230" s="39">
        <v>4.2699999999999998E-6</v>
      </c>
      <c r="M230" s="39">
        <v>3.8698999999999997E-2</v>
      </c>
      <c r="N230" s="39">
        <v>1.8159999999999999E-3</v>
      </c>
      <c r="O230" s="39">
        <v>9.0075000000000002E-2</v>
      </c>
      <c r="P230" s="49"/>
    </row>
    <row r="231" spans="4:16">
      <c r="D231" s="47"/>
      <c r="E231" s="39">
        <v>8</v>
      </c>
      <c r="F231" s="39">
        <v>120</v>
      </c>
      <c r="G231" s="39">
        <v>7</v>
      </c>
      <c r="H231" s="39" t="s">
        <v>6</v>
      </c>
      <c r="I231" s="39">
        <v>55.832819999999998</v>
      </c>
      <c r="J231" s="39">
        <v>0.56672699999999998</v>
      </c>
      <c r="K231" s="39">
        <v>7.3913640000000003</v>
      </c>
      <c r="L231" s="39">
        <v>5.2399999999999998E-6</v>
      </c>
      <c r="M231" s="39">
        <v>3.3408E-2</v>
      </c>
      <c r="N231" s="39">
        <v>1.7160000000000001E-3</v>
      </c>
      <c r="O231" s="39">
        <v>6.2659000000000006E-2</v>
      </c>
      <c r="P231" s="49"/>
    </row>
    <row r="232" spans="4:16">
      <c r="D232" s="47"/>
      <c r="E232" s="39">
        <v>8</v>
      </c>
      <c r="F232" s="39">
        <v>120</v>
      </c>
      <c r="G232" s="39">
        <v>8</v>
      </c>
      <c r="H232" s="39" t="s">
        <v>7</v>
      </c>
      <c r="I232" s="39">
        <v>87.604200000000006</v>
      </c>
      <c r="J232" s="39">
        <v>0.32432899999999998</v>
      </c>
      <c r="K232" s="39">
        <v>7.7428169999999996</v>
      </c>
      <c r="L232" s="39">
        <v>9.3399999999999997E-7</v>
      </c>
      <c r="M232" s="39">
        <v>5.7891999999999999E-2</v>
      </c>
      <c r="N232" s="39">
        <v>3.86E-4</v>
      </c>
      <c r="O232" s="39">
        <v>4.5266000000000001E-2</v>
      </c>
      <c r="P232" s="49"/>
    </row>
    <row r="233" spans="4:16">
      <c r="D233" s="47"/>
      <c r="E233" s="39">
        <v>8</v>
      </c>
      <c r="F233" s="39">
        <v>120</v>
      </c>
      <c r="G233" s="39">
        <v>9</v>
      </c>
      <c r="H233" s="39" t="s">
        <v>8</v>
      </c>
      <c r="I233" s="39">
        <v>131.5805</v>
      </c>
      <c r="J233" s="39">
        <v>0.51386500000000002</v>
      </c>
      <c r="K233" s="39">
        <v>5.3386440000000004</v>
      </c>
      <c r="L233" s="39">
        <v>-1.9000000000000001E-5</v>
      </c>
      <c r="M233" s="39">
        <v>5.2177000000000001E-2</v>
      </c>
      <c r="N233" s="39">
        <v>7.18E-4</v>
      </c>
      <c r="O233" s="39">
        <v>2.6959E-2</v>
      </c>
      <c r="P233" s="49"/>
    </row>
    <row r="234" spans="4:16">
      <c r="D234" s="47"/>
      <c r="E234" s="39">
        <v>8</v>
      </c>
      <c r="F234" s="39">
        <v>120</v>
      </c>
      <c r="G234" s="39">
        <v>10</v>
      </c>
      <c r="H234" s="39" t="s">
        <v>9</v>
      </c>
      <c r="I234" s="39">
        <v>116.7518</v>
      </c>
      <c r="J234" s="39">
        <v>0.28950100000000001</v>
      </c>
      <c r="K234" s="39">
        <v>7.6022080000000001</v>
      </c>
      <c r="L234" s="39">
        <v>1.77E-6</v>
      </c>
      <c r="M234" s="39">
        <v>7.2561E-2</v>
      </c>
      <c r="N234" s="39">
        <v>-1.7000000000000001E-4</v>
      </c>
      <c r="O234" s="39">
        <v>3.5395000000000003E-2</v>
      </c>
      <c r="P234" s="49"/>
    </row>
    <row r="235" spans="4:16">
      <c r="D235" s="47"/>
      <c r="E235" s="39">
        <v>8</v>
      </c>
      <c r="F235" s="39">
        <v>120</v>
      </c>
      <c r="G235" s="39">
        <v>11</v>
      </c>
      <c r="H235" s="39" t="s">
        <v>10</v>
      </c>
      <c r="I235" s="39">
        <v>129.0754</v>
      </c>
      <c r="J235" s="39">
        <v>0.29081000000000001</v>
      </c>
      <c r="K235" s="39">
        <v>7.0737290000000002</v>
      </c>
      <c r="L235" s="39">
        <v>5.9000000000000003E-6</v>
      </c>
      <c r="M235" s="39">
        <v>7.0458000000000007E-2</v>
      </c>
      <c r="N235" s="39">
        <v>-1E-4</v>
      </c>
      <c r="O235" s="39">
        <v>3.0501E-2</v>
      </c>
      <c r="P235" s="49"/>
    </row>
    <row r="236" spans="4:16">
      <c r="D236" s="47"/>
      <c r="E236" s="39">
        <v>8</v>
      </c>
      <c r="F236" s="39">
        <v>120</v>
      </c>
      <c r="G236" s="39">
        <v>12</v>
      </c>
      <c r="H236" s="39" t="s">
        <v>11</v>
      </c>
      <c r="I236" s="39">
        <v>142.76439999999999</v>
      </c>
      <c r="J236" s="39">
        <v>0.281918</v>
      </c>
      <c r="K236" s="39">
        <v>6.629753</v>
      </c>
      <c r="L236" s="39">
        <v>5.4099999999999999E-6</v>
      </c>
      <c r="M236" s="39">
        <v>6.9766999999999996E-2</v>
      </c>
      <c r="N236" s="39">
        <v>-1.2999999999999999E-4</v>
      </c>
      <c r="O236" s="39">
        <v>2.7789000000000001E-2</v>
      </c>
      <c r="P236" s="49"/>
    </row>
    <row r="237" spans="4:16">
      <c r="D237" s="47"/>
      <c r="E237" s="39">
        <v>8</v>
      </c>
      <c r="F237" s="39">
        <v>120</v>
      </c>
      <c r="G237" s="39">
        <v>13</v>
      </c>
      <c r="H237" s="39" t="s">
        <v>12</v>
      </c>
      <c r="I237" s="39">
        <v>161.39330000000001</v>
      </c>
      <c r="J237" s="39">
        <v>0.22509599999999999</v>
      </c>
      <c r="K237" s="39">
        <v>6.1840619999999999</v>
      </c>
      <c r="L237" s="39">
        <v>1.34E-5</v>
      </c>
      <c r="M237" s="39">
        <v>6.3436999999999993E-2</v>
      </c>
      <c r="N237" s="39">
        <v>-3.6999999999999999E-4</v>
      </c>
      <c r="O237" s="39">
        <v>2.4627E-2</v>
      </c>
      <c r="P237" s="49"/>
    </row>
    <row r="238" spans="4:16">
      <c r="D238" s="47"/>
      <c r="E238" s="39">
        <v>8</v>
      </c>
      <c r="F238" s="39">
        <v>120</v>
      </c>
      <c r="G238" s="39">
        <v>14</v>
      </c>
      <c r="H238" s="39" t="s">
        <v>14</v>
      </c>
      <c r="I238" s="39">
        <v>182.5335</v>
      </c>
      <c r="J238" s="39">
        <v>0.21868699999999999</v>
      </c>
      <c r="K238" s="39">
        <v>6.1578419999999996</v>
      </c>
      <c r="L238" s="39">
        <v>8.8200000000000003E-6</v>
      </c>
      <c r="M238" s="39">
        <v>6.7991999999999997E-2</v>
      </c>
      <c r="N238" s="39">
        <v>-2.3000000000000001E-4</v>
      </c>
      <c r="O238" s="39">
        <v>2.1600000000000001E-2</v>
      </c>
      <c r="P238" s="49"/>
    </row>
    <row r="239" spans="4:16">
      <c r="D239" s="47"/>
      <c r="E239" s="39">
        <v>8</v>
      </c>
      <c r="F239" s="39">
        <v>120</v>
      </c>
      <c r="G239" s="39">
        <v>15</v>
      </c>
      <c r="H239" s="39" t="s">
        <v>15</v>
      </c>
      <c r="I239" s="39">
        <v>178.79060000000001</v>
      </c>
      <c r="J239" s="39">
        <v>0.21703600000000001</v>
      </c>
      <c r="K239" s="39">
        <v>6.1469290000000001</v>
      </c>
      <c r="L239" s="39">
        <v>1.13E-5</v>
      </c>
      <c r="M239" s="39">
        <v>6.6578999999999999E-2</v>
      </c>
      <c r="N239" s="39">
        <v>-2.5999999999999998E-4</v>
      </c>
      <c r="O239" s="39">
        <v>2.2525E-2</v>
      </c>
      <c r="P239" s="49"/>
    </row>
    <row r="240" spans="4:16">
      <c r="D240" s="47"/>
      <c r="E240" s="39">
        <v>8</v>
      </c>
      <c r="F240" s="39">
        <v>120</v>
      </c>
      <c r="G240" s="39">
        <v>16</v>
      </c>
      <c r="H240" s="39" t="s">
        <v>16</v>
      </c>
      <c r="I240" s="39">
        <v>242.96029999999999</v>
      </c>
      <c r="J240" s="39">
        <v>0.16098899999999999</v>
      </c>
      <c r="K240" s="39">
        <v>6.0301280000000004</v>
      </c>
      <c r="L240" s="39">
        <v>1.9599999999999999E-5</v>
      </c>
      <c r="M240" s="39">
        <v>6.5523999999999999E-2</v>
      </c>
      <c r="N240" s="39">
        <v>-2.9E-4</v>
      </c>
      <c r="O240" s="39">
        <v>1.6369000000000002E-2</v>
      </c>
      <c r="P240" s="49"/>
    </row>
    <row r="241" spans="4:16">
      <c r="D241" s="47"/>
      <c r="E241" s="39">
        <v>8</v>
      </c>
      <c r="F241" s="39">
        <v>120</v>
      </c>
      <c r="G241" s="39">
        <v>17</v>
      </c>
      <c r="H241" s="39" t="s">
        <v>17</v>
      </c>
      <c r="I241" s="39">
        <v>279.91399999999999</v>
      </c>
      <c r="J241" s="39">
        <v>0.18973100000000001</v>
      </c>
      <c r="K241" s="39">
        <v>6.1808009999999998</v>
      </c>
      <c r="L241" s="39">
        <v>1.7799999999999999E-5</v>
      </c>
      <c r="M241" s="39">
        <v>6.6279000000000005E-2</v>
      </c>
      <c r="N241" s="39">
        <v>-1.1E-4</v>
      </c>
      <c r="O241" s="39">
        <v>1.3946999999999999E-2</v>
      </c>
      <c r="P241" s="49"/>
    </row>
    <row r="242" spans="4:16">
      <c r="D242" s="47"/>
      <c r="E242" s="39">
        <v>8</v>
      </c>
      <c r="F242" s="39">
        <v>120</v>
      </c>
      <c r="G242" s="39">
        <v>18</v>
      </c>
      <c r="H242" s="39" t="s">
        <v>18</v>
      </c>
      <c r="I242" s="39">
        <v>292.03579999999999</v>
      </c>
      <c r="J242" s="39">
        <v>9.1031000000000001E-2</v>
      </c>
      <c r="K242" s="39">
        <v>5.9934000000000003</v>
      </c>
      <c r="L242" s="39">
        <v>4.7800000000000003E-5</v>
      </c>
      <c r="M242" s="39">
        <v>6.2755000000000005E-2</v>
      </c>
      <c r="N242" s="39">
        <v>-3.6000000000000002E-4</v>
      </c>
      <c r="O242" s="39">
        <v>1.3653999999999999E-2</v>
      </c>
      <c r="P242" s="49"/>
    </row>
    <row r="243" spans="4:16">
      <c r="D243" s="47"/>
      <c r="E243" s="39">
        <v>8</v>
      </c>
      <c r="F243" s="39">
        <v>120</v>
      </c>
      <c r="G243" s="39">
        <v>19</v>
      </c>
      <c r="H243" s="39" t="s">
        <v>19</v>
      </c>
      <c r="I243" s="39">
        <v>335.31360000000001</v>
      </c>
      <c r="J243" s="39">
        <v>5.5492E-2</v>
      </c>
      <c r="K243" s="39">
        <v>6.0779290000000001</v>
      </c>
      <c r="L243" s="39">
        <v>7.0300000000000001E-5</v>
      </c>
      <c r="M243" s="39">
        <v>6.2448999999999998E-2</v>
      </c>
      <c r="N243" s="39">
        <v>-3.5E-4</v>
      </c>
      <c r="O243" s="39">
        <v>1.2142E-2</v>
      </c>
      <c r="P243" s="49"/>
    </row>
    <row r="244" spans="4:16">
      <c r="D244" s="47"/>
      <c r="E244" s="39">
        <v>8</v>
      </c>
      <c r="F244" s="39">
        <v>120</v>
      </c>
      <c r="G244" s="39">
        <v>20</v>
      </c>
      <c r="H244" s="39" t="s">
        <v>20</v>
      </c>
      <c r="I244" s="39">
        <v>348.03809999999999</v>
      </c>
      <c r="J244" s="39">
        <v>4.2062000000000002E-2</v>
      </c>
      <c r="K244" s="39">
        <v>5.8057910000000001</v>
      </c>
      <c r="L244" s="39">
        <v>7.3300000000000006E-5</v>
      </c>
      <c r="M244" s="39">
        <v>6.0936999999999998E-2</v>
      </c>
      <c r="N244" s="39">
        <v>-3.8999999999999999E-4</v>
      </c>
      <c r="O244" s="39">
        <v>1.1818E-2</v>
      </c>
      <c r="P244" s="49"/>
    </row>
    <row r="245" spans="4:16">
      <c r="D245" s="47"/>
      <c r="E245" s="50"/>
      <c r="F245" s="50"/>
      <c r="G245" s="50"/>
      <c r="H245" s="50"/>
      <c r="I245" s="50"/>
      <c r="J245" s="50"/>
      <c r="K245" s="50"/>
      <c r="L245" s="50"/>
      <c r="M245" s="50"/>
      <c r="N245" s="50"/>
      <c r="O245" s="50"/>
      <c r="P245" s="49"/>
    </row>
    <row r="246" spans="4:16">
      <c r="D246" s="47"/>
      <c r="E246" s="22" t="s">
        <v>21</v>
      </c>
      <c r="F246" s="22" t="s">
        <v>22</v>
      </c>
      <c r="G246" s="22"/>
      <c r="H246" s="22" t="s">
        <v>13</v>
      </c>
      <c r="I246" s="22" t="s">
        <v>27</v>
      </c>
      <c r="J246" s="22" t="s">
        <v>28</v>
      </c>
      <c r="K246" s="22" t="s">
        <v>29</v>
      </c>
      <c r="L246" s="22" t="s">
        <v>30</v>
      </c>
      <c r="M246" s="22" t="s">
        <v>31</v>
      </c>
      <c r="N246" s="22" t="s">
        <v>32</v>
      </c>
      <c r="O246" s="22" t="s">
        <v>33</v>
      </c>
      <c r="P246" s="49"/>
    </row>
    <row r="247" spans="4:16">
      <c r="D247" s="47"/>
      <c r="E247" s="39">
        <v>8</v>
      </c>
      <c r="F247" s="39">
        <v>300</v>
      </c>
      <c r="G247" s="39">
        <v>1</v>
      </c>
      <c r="H247" s="39" t="s">
        <v>0</v>
      </c>
      <c r="I247" s="39">
        <v>22.381430000000002</v>
      </c>
      <c r="J247" s="39">
        <v>0.64191900000000002</v>
      </c>
      <c r="K247" s="39">
        <v>7.8799130000000002</v>
      </c>
      <c r="L247" s="39">
        <v>9.4399999999999994E-6</v>
      </c>
      <c r="M247" s="39">
        <v>2.9429E-2</v>
      </c>
      <c r="N247" s="39">
        <v>6.3500000000000004E-4</v>
      </c>
      <c r="O247" s="39">
        <v>0.156696</v>
      </c>
      <c r="P247" s="49"/>
    </row>
    <row r="248" spans="4:16">
      <c r="D248" s="47"/>
      <c r="E248" s="39">
        <v>8</v>
      </c>
      <c r="F248" s="39">
        <v>300</v>
      </c>
      <c r="G248" s="39">
        <v>2</v>
      </c>
      <c r="H248" s="39" t="s">
        <v>1</v>
      </c>
      <c r="I248" s="39">
        <v>29.69182</v>
      </c>
      <c r="J248" s="39">
        <v>0.64886100000000002</v>
      </c>
      <c r="K248" s="39">
        <v>9.0018019999999996</v>
      </c>
      <c r="L248" s="39">
        <v>4.5600000000000004E-6</v>
      </c>
      <c r="M248" s="39">
        <v>2.7539000000000001E-2</v>
      </c>
      <c r="N248" s="39">
        <v>7.4200000000000004E-4</v>
      </c>
      <c r="O248" s="39">
        <v>0.13019900000000001</v>
      </c>
      <c r="P248" s="49"/>
    </row>
    <row r="249" spans="4:16">
      <c r="D249" s="47"/>
      <c r="E249" s="39">
        <v>8</v>
      </c>
      <c r="F249" s="39">
        <v>300</v>
      </c>
      <c r="G249" s="39">
        <v>3</v>
      </c>
      <c r="H249" s="39" t="s">
        <v>2</v>
      </c>
      <c r="I249" s="39">
        <v>38.819200000000002</v>
      </c>
      <c r="J249" s="39">
        <v>0.67069699999999999</v>
      </c>
      <c r="K249" s="39">
        <v>9.6085630000000002</v>
      </c>
      <c r="L249" s="39">
        <v>3.45E-6</v>
      </c>
      <c r="M249" s="39">
        <v>2.4681000000000002E-2</v>
      </c>
      <c r="N249" s="39">
        <v>8.03E-4</v>
      </c>
      <c r="O249" s="39">
        <v>9.4645999999999994E-2</v>
      </c>
      <c r="P249" s="49"/>
    </row>
    <row r="250" spans="4:16">
      <c r="D250" s="47"/>
      <c r="E250" s="39">
        <v>8</v>
      </c>
      <c r="F250" s="39">
        <v>300</v>
      </c>
      <c r="G250" s="39">
        <v>4</v>
      </c>
      <c r="H250" s="39" t="s">
        <v>3</v>
      </c>
      <c r="I250" s="39">
        <v>34.812809999999999</v>
      </c>
      <c r="J250" s="39">
        <v>0.65152299999999996</v>
      </c>
      <c r="K250" s="39">
        <v>6.0343960000000001</v>
      </c>
      <c r="L250" s="39">
        <v>-1.7999999999999999E-6</v>
      </c>
      <c r="M250" s="39">
        <v>3.6948000000000002E-2</v>
      </c>
      <c r="N250" s="39">
        <v>2.2550000000000001E-3</v>
      </c>
      <c r="O250" s="39">
        <v>0.12506999999999999</v>
      </c>
      <c r="P250" s="49"/>
    </row>
    <row r="251" spans="4:16">
      <c r="D251" s="47"/>
      <c r="E251" s="39">
        <v>8</v>
      </c>
      <c r="F251" s="39">
        <v>300</v>
      </c>
      <c r="G251" s="39">
        <v>5</v>
      </c>
      <c r="H251" s="39" t="s">
        <v>4</v>
      </c>
      <c r="I251" s="39">
        <v>37.733429999999998</v>
      </c>
      <c r="J251" s="39">
        <v>0.638046</v>
      </c>
      <c r="K251" s="39">
        <v>6.0795659999999998</v>
      </c>
      <c r="L251" s="39">
        <v>3.8399999999999997E-6</v>
      </c>
      <c r="M251" s="39">
        <v>3.3271000000000002E-2</v>
      </c>
      <c r="N251" s="39">
        <v>1.8730000000000001E-3</v>
      </c>
      <c r="O251" s="39">
        <v>8.9452000000000004E-2</v>
      </c>
      <c r="P251" s="49"/>
    </row>
    <row r="252" spans="4:16">
      <c r="D252" s="47"/>
      <c r="E252" s="39">
        <v>8</v>
      </c>
      <c r="F252" s="39">
        <v>300</v>
      </c>
      <c r="G252" s="39">
        <v>6</v>
      </c>
      <c r="H252" s="39" t="s">
        <v>5</v>
      </c>
      <c r="I252" s="39">
        <v>48.441580000000002</v>
      </c>
      <c r="J252" s="39">
        <v>0.65314499999999998</v>
      </c>
      <c r="K252" s="39">
        <v>4.5972369999999998</v>
      </c>
      <c r="L252" s="39">
        <v>2.1100000000000001E-6</v>
      </c>
      <c r="M252" s="39">
        <v>3.8741999999999999E-2</v>
      </c>
      <c r="N252" s="39">
        <v>1.7819999999999999E-3</v>
      </c>
      <c r="O252" s="39">
        <v>9.1215000000000004E-2</v>
      </c>
      <c r="P252" s="49"/>
    </row>
    <row r="253" spans="4:16">
      <c r="D253" s="47"/>
      <c r="E253" s="39">
        <v>8</v>
      </c>
      <c r="F253" s="39">
        <v>300</v>
      </c>
      <c r="G253" s="39">
        <v>7</v>
      </c>
      <c r="H253" s="39" t="s">
        <v>6</v>
      </c>
      <c r="I253" s="39">
        <v>56.276310000000002</v>
      </c>
      <c r="J253" s="39">
        <v>0.57908000000000004</v>
      </c>
      <c r="K253" s="39">
        <v>6.9305050000000001</v>
      </c>
      <c r="L253" s="39">
        <v>3.5300000000000001E-6</v>
      </c>
      <c r="M253" s="39">
        <v>3.3251999999999997E-2</v>
      </c>
      <c r="N253" s="39">
        <v>1.6670000000000001E-3</v>
      </c>
      <c r="O253" s="39">
        <v>6.2272000000000001E-2</v>
      </c>
      <c r="P253" s="49"/>
    </row>
    <row r="254" spans="4:16">
      <c r="D254" s="47"/>
      <c r="E254" s="39">
        <v>8</v>
      </c>
      <c r="F254" s="39">
        <v>300</v>
      </c>
      <c r="G254" s="39">
        <v>8</v>
      </c>
      <c r="H254" s="39" t="s">
        <v>7</v>
      </c>
      <c r="I254" s="39">
        <v>89.505939999999995</v>
      </c>
      <c r="J254" s="39">
        <v>0.31260700000000002</v>
      </c>
      <c r="K254" s="39">
        <v>7.4867629999999998</v>
      </c>
      <c r="L254" s="39">
        <v>5.2399999999999998E-6</v>
      </c>
      <c r="M254" s="39">
        <v>5.6257000000000001E-2</v>
      </c>
      <c r="N254" s="39">
        <v>3.6000000000000002E-4</v>
      </c>
      <c r="O254" s="39">
        <v>4.4756999999999998E-2</v>
      </c>
      <c r="P254" s="49"/>
    </row>
    <row r="255" spans="4:16">
      <c r="D255" s="47"/>
      <c r="E255" s="39">
        <v>8</v>
      </c>
      <c r="F255" s="39">
        <v>300</v>
      </c>
      <c r="G255" s="39">
        <v>9</v>
      </c>
      <c r="H255" s="39" t="s">
        <v>8</v>
      </c>
      <c r="I255" s="39">
        <v>133.60749999999999</v>
      </c>
      <c r="J255" s="39">
        <v>0.50399300000000002</v>
      </c>
      <c r="K255" s="39">
        <v>5.2184359999999996</v>
      </c>
      <c r="L255" s="39">
        <v>-1.8E-5</v>
      </c>
      <c r="M255" s="39">
        <v>5.1394000000000002E-2</v>
      </c>
      <c r="N255" s="39">
        <v>6.9999999999999999E-4</v>
      </c>
      <c r="O255" s="39">
        <v>2.6738999999999999E-2</v>
      </c>
      <c r="P255" s="49"/>
    </row>
    <row r="256" spans="4:16">
      <c r="D256" s="47"/>
      <c r="E256" s="39">
        <v>8</v>
      </c>
      <c r="F256" s="39">
        <v>300</v>
      </c>
      <c r="G256" s="39">
        <v>10</v>
      </c>
      <c r="H256" s="39" t="s">
        <v>9</v>
      </c>
      <c r="I256" s="39">
        <v>119.5508</v>
      </c>
      <c r="J256" s="39">
        <v>0.29774800000000001</v>
      </c>
      <c r="K256" s="39">
        <v>6.8702300000000003</v>
      </c>
      <c r="L256" s="39">
        <v>2.1299999999999999E-6</v>
      </c>
      <c r="M256" s="39">
        <v>7.0532999999999998E-2</v>
      </c>
      <c r="N256" s="39">
        <v>-2.0000000000000001E-4</v>
      </c>
      <c r="O256" s="39">
        <v>3.5064999999999999E-2</v>
      </c>
      <c r="P256" s="49"/>
    </row>
    <row r="257" spans="4:16">
      <c r="D257" s="47"/>
      <c r="E257" s="39">
        <v>8</v>
      </c>
      <c r="F257" s="39">
        <v>300</v>
      </c>
      <c r="G257" s="39">
        <v>11</v>
      </c>
      <c r="H257" s="39" t="s">
        <v>10</v>
      </c>
      <c r="I257" s="39">
        <v>132.0805</v>
      </c>
      <c r="J257" s="39">
        <v>0.29038900000000001</v>
      </c>
      <c r="K257" s="39">
        <v>6.5858230000000004</v>
      </c>
      <c r="L257" s="39">
        <v>8.6000000000000007E-6</v>
      </c>
      <c r="M257" s="39">
        <v>6.8486000000000005E-2</v>
      </c>
      <c r="N257" s="39">
        <v>-1.2E-4</v>
      </c>
      <c r="O257" s="39">
        <v>3.0096000000000001E-2</v>
      </c>
      <c r="P257" s="49"/>
    </row>
    <row r="258" spans="4:16">
      <c r="D258" s="47"/>
      <c r="E258" s="39">
        <v>8</v>
      </c>
      <c r="F258" s="39">
        <v>300</v>
      </c>
      <c r="G258" s="39">
        <v>12</v>
      </c>
      <c r="H258" s="39" t="s">
        <v>11</v>
      </c>
      <c r="I258" s="39">
        <v>145.97800000000001</v>
      </c>
      <c r="J258" s="39">
        <v>0.27889599999999998</v>
      </c>
      <c r="K258" s="39">
        <v>6.2276530000000001</v>
      </c>
      <c r="L258" s="39">
        <v>8.6799999999999999E-6</v>
      </c>
      <c r="M258" s="39">
        <v>6.7863999999999994E-2</v>
      </c>
      <c r="N258" s="39">
        <v>-1.4999999999999999E-4</v>
      </c>
      <c r="O258" s="39">
        <v>2.7418000000000001E-2</v>
      </c>
      <c r="P258" s="49"/>
    </row>
    <row r="259" spans="4:16">
      <c r="D259" s="47"/>
      <c r="E259" s="39">
        <v>8</v>
      </c>
      <c r="F259" s="39">
        <v>300</v>
      </c>
      <c r="G259" s="39">
        <v>13</v>
      </c>
      <c r="H259" s="39" t="s">
        <v>12</v>
      </c>
      <c r="I259" s="39">
        <v>164.4562</v>
      </c>
      <c r="J259" s="39">
        <v>0.22289700000000001</v>
      </c>
      <c r="K259" s="39">
        <v>5.8240350000000003</v>
      </c>
      <c r="L259" s="39">
        <v>1.73E-5</v>
      </c>
      <c r="M259" s="39">
        <v>6.1913000000000003E-2</v>
      </c>
      <c r="N259" s="39">
        <v>-3.8000000000000002E-4</v>
      </c>
      <c r="O259" s="39">
        <v>2.4372000000000001E-2</v>
      </c>
      <c r="P259" s="49"/>
    </row>
    <row r="260" spans="4:16">
      <c r="D260" s="47"/>
      <c r="E260" s="39">
        <v>8</v>
      </c>
      <c r="F260" s="39">
        <v>300</v>
      </c>
      <c r="G260" s="39">
        <v>14</v>
      </c>
      <c r="H260" s="39" t="s">
        <v>14</v>
      </c>
      <c r="I260" s="39">
        <v>185.95480000000001</v>
      </c>
      <c r="J260" s="39">
        <v>0.21882399999999999</v>
      </c>
      <c r="K260" s="39">
        <v>5.77149</v>
      </c>
      <c r="L260" s="39">
        <v>1.1600000000000001E-5</v>
      </c>
      <c r="M260" s="39">
        <v>6.6460000000000005E-2</v>
      </c>
      <c r="N260" s="39">
        <v>-2.5000000000000001E-4</v>
      </c>
      <c r="O260" s="39">
        <v>2.1377E-2</v>
      </c>
      <c r="P260" s="49"/>
    </row>
    <row r="261" spans="4:16">
      <c r="D261" s="47"/>
      <c r="E261" s="39">
        <v>8</v>
      </c>
      <c r="F261" s="39">
        <v>300</v>
      </c>
      <c r="G261" s="39">
        <v>15</v>
      </c>
      <c r="H261" s="39" t="s">
        <v>15</v>
      </c>
      <c r="I261" s="39">
        <v>182.22839999999999</v>
      </c>
      <c r="J261" s="39">
        <v>0.21620900000000001</v>
      </c>
      <c r="K261" s="39">
        <v>5.770886</v>
      </c>
      <c r="L261" s="39">
        <v>1.47E-5</v>
      </c>
      <c r="M261" s="39">
        <v>6.5007999999999996E-2</v>
      </c>
      <c r="N261" s="39">
        <v>-2.7E-4</v>
      </c>
      <c r="O261" s="39">
        <v>2.2275E-2</v>
      </c>
      <c r="P261" s="49"/>
    </row>
    <row r="262" spans="4:16">
      <c r="D262" s="47"/>
      <c r="E262" s="39">
        <v>8</v>
      </c>
      <c r="F262" s="39">
        <v>300</v>
      </c>
      <c r="G262" s="39">
        <v>16</v>
      </c>
      <c r="H262" s="39" t="s">
        <v>16</v>
      </c>
      <c r="I262" s="39">
        <v>246.70580000000001</v>
      </c>
      <c r="J262" s="39">
        <v>0.159216</v>
      </c>
      <c r="K262" s="39">
        <v>5.7184270000000001</v>
      </c>
      <c r="L262" s="39">
        <v>2.3600000000000001E-5</v>
      </c>
      <c r="M262" s="39">
        <v>6.429E-2</v>
      </c>
      <c r="N262" s="39">
        <v>-2.9E-4</v>
      </c>
      <c r="O262" s="39">
        <v>1.6272999999999999E-2</v>
      </c>
      <c r="P262" s="49"/>
    </row>
    <row r="263" spans="4:16">
      <c r="D263" s="47"/>
      <c r="E263" s="39">
        <v>8</v>
      </c>
      <c r="F263" s="39">
        <v>300</v>
      </c>
      <c r="G263" s="39">
        <v>17</v>
      </c>
      <c r="H263" s="39" t="s">
        <v>17</v>
      </c>
      <c r="I263" s="39">
        <v>284.21440000000001</v>
      </c>
      <c r="J263" s="39">
        <v>0.18754999999999999</v>
      </c>
      <c r="K263" s="39">
        <v>5.8681729999999996</v>
      </c>
      <c r="L263" s="39">
        <v>2.16E-5</v>
      </c>
      <c r="M263" s="39">
        <v>6.5061999999999995E-2</v>
      </c>
      <c r="N263" s="39">
        <v>-1.2E-4</v>
      </c>
      <c r="O263" s="39">
        <v>1.3882E-2</v>
      </c>
      <c r="P263" s="49"/>
    </row>
    <row r="264" spans="4:16">
      <c r="D264" s="47"/>
      <c r="E264" s="39">
        <v>8</v>
      </c>
      <c r="F264" s="39">
        <v>300</v>
      </c>
      <c r="G264" s="39">
        <v>18</v>
      </c>
      <c r="H264" s="39" t="s">
        <v>18</v>
      </c>
      <c r="I264" s="39">
        <v>295.88</v>
      </c>
      <c r="J264" s="39">
        <v>8.5138000000000005E-2</v>
      </c>
      <c r="K264" s="39">
        <v>5.7668140000000001</v>
      </c>
      <c r="L264" s="39">
        <v>5.5800000000000001E-5</v>
      </c>
      <c r="M264" s="39">
        <v>6.1711000000000002E-2</v>
      </c>
      <c r="N264" s="39">
        <v>-3.6000000000000002E-4</v>
      </c>
      <c r="O264" s="39">
        <v>1.3615E-2</v>
      </c>
      <c r="P264" s="49"/>
    </row>
    <row r="265" spans="4:16">
      <c r="D265" s="47"/>
      <c r="E265" s="39">
        <v>8</v>
      </c>
      <c r="F265" s="39">
        <v>300</v>
      </c>
      <c r="G265" s="39">
        <v>19</v>
      </c>
      <c r="H265" s="39" t="s">
        <v>19</v>
      </c>
      <c r="I265" s="39">
        <v>339.53359999999998</v>
      </c>
      <c r="J265" s="39">
        <v>4.8769E-2</v>
      </c>
      <c r="K265" s="39">
        <v>5.8613350000000004</v>
      </c>
      <c r="L265" s="39">
        <v>8.0500000000000005E-5</v>
      </c>
      <c r="M265" s="39">
        <v>6.1447000000000002E-2</v>
      </c>
      <c r="N265" s="39">
        <v>-3.6000000000000002E-4</v>
      </c>
      <c r="O265" s="39">
        <v>1.2121E-2</v>
      </c>
      <c r="P265" s="49"/>
    </row>
    <row r="266" spans="4:16">
      <c r="D266" s="47"/>
      <c r="E266" s="39">
        <v>8</v>
      </c>
      <c r="F266" s="39">
        <v>300</v>
      </c>
      <c r="G266" s="39">
        <v>20</v>
      </c>
      <c r="H266" s="39" t="s">
        <v>20</v>
      </c>
      <c r="I266" s="39">
        <v>352.19189999999998</v>
      </c>
      <c r="J266" s="39">
        <v>3.5375999999999998E-2</v>
      </c>
      <c r="K266" s="39">
        <v>5.601985</v>
      </c>
      <c r="L266" s="39">
        <v>8.3800000000000004E-5</v>
      </c>
      <c r="M266" s="39">
        <v>6.0003000000000001E-2</v>
      </c>
      <c r="N266" s="39">
        <v>-3.8999999999999999E-4</v>
      </c>
      <c r="O266" s="39">
        <v>1.1802E-2</v>
      </c>
      <c r="P266" s="49"/>
    </row>
    <row r="267" spans="4:16">
      <c r="D267" s="47"/>
      <c r="E267" s="50"/>
      <c r="F267" s="50"/>
      <c r="G267" s="50"/>
      <c r="H267" s="50"/>
      <c r="I267" s="50"/>
      <c r="J267" s="50"/>
      <c r="K267" s="50"/>
      <c r="L267" s="50"/>
      <c r="M267" s="50"/>
      <c r="N267" s="50"/>
      <c r="O267" s="50"/>
      <c r="P267" s="49"/>
    </row>
    <row r="268" spans="4:16">
      <c r="D268" s="47"/>
      <c r="E268" s="22" t="s">
        <v>21</v>
      </c>
      <c r="F268" s="22" t="s">
        <v>22</v>
      </c>
      <c r="G268" s="22"/>
      <c r="H268" s="22" t="s">
        <v>13</v>
      </c>
      <c r="I268" s="22" t="s">
        <v>27</v>
      </c>
      <c r="J268" s="22" t="s">
        <v>28</v>
      </c>
      <c r="K268" s="22" t="s">
        <v>29</v>
      </c>
      <c r="L268" s="22" t="s">
        <v>30</v>
      </c>
      <c r="M268" s="22" t="s">
        <v>31</v>
      </c>
      <c r="N268" s="22" t="s">
        <v>32</v>
      </c>
      <c r="O268" s="22" t="s">
        <v>33</v>
      </c>
      <c r="P268" s="49"/>
    </row>
    <row r="269" spans="4:16">
      <c r="D269" s="47"/>
      <c r="E269" s="39">
        <v>10</v>
      </c>
      <c r="F269" s="39">
        <v>20</v>
      </c>
      <c r="G269" s="39">
        <v>1</v>
      </c>
      <c r="H269" s="39" t="s">
        <v>0</v>
      </c>
      <c r="I269" s="39">
        <v>22.816269999999999</v>
      </c>
      <c r="J269" s="39">
        <v>0.62731899999999996</v>
      </c>
      <c r="K269" s="39">
        <v>7.6433410000000004</v>
      </c>
      <c r="L269" s="51">
        <v>6.9199999999999998E-6</v>
      </c>
      <c r="M269" s="39">
        <v>2.8055E-2</v>
      </c>
      <c r="N269" s="39">
        <v>7.0500000000000001E-4</v>
      </c>
      <c r="O269" s="39">
        <v>0.20588999999999999</v>
      </c>
      <c r="P269" s="49"/>
    </row>
    <row r="270" spans="4:16">
      <c r="D270" s="47"/>
      <c r="E270" s="39">
        <v>10</v>
      </c>
      <c r="F270" s="39">
        <v>20</v>
      </c>
      <c r="G270" s="39">
        <v>2</v>
      </c>
      <c r="H270" s="39" t="s">
        <v>1</v>
      </c>
      <c r="I270" s="39">
        <v>30.20063</v>
      </c>
      <c r="J270" s="39">
        <v>0.64485099999999995</v>
      </c>
      <c r="K270" s="39">
        <v>8.7197750000000003</v>
      </c>
      <c r="L270" s="51">
        <v>2.43E-6</v>
      </c>
      <c r="M270" s="39">
        <v>2.6478000000000002E-2</v>
      </c>
      <c r="N270" s="39">
        <v>7.94E-4</v>
      </c>
      <c r="O270" s="39">
        <v>0.163829</v>
      </c>
      <c r="P270" s="49"/>
    </row>
    <row r="271" spans="4:16">
      <c r="D271" s="47"/>
      <c r="E271" s="39">
        <v>10</v>
      </c>
      <c r="F271" s="39">
        <v>20</v>
      </c>
      <c r="G271" s="39">
        <v>3</v>
      </c>
      <c r="H271" s="39" t="s">
        <v>2</v>
      </c>
      <c r="I271" s="39">
        <v>39.24362</v>
      </c>
      <c r="J271" s="39">
        <v>0.66081800000000002</v>
      </c>
      <c r="K271" s="39">
        <v>9.4731210000000008</v>
      </c>
      <c r="L271" s="51">
        <v>1.8199999999999999E-6</v>
      </c>
      <c r="M271" s="39">
        <v>2.3633000000000001E-2</v>
      </c>
      <c r="N271" s="39">
        <v>8.7100000000000003E-4</v>
      </c>
      <c r="O271" s="39">
        <v>0.12648799999999999</v>
      </c>
      <c r="P271" s="49"/>
    </row>
    <row r="272" spans="4:16">
      <c r="D272" s="47"/>
      <c r="E272" s="39">
        <v>10</v>
      </c>
      <c r="F272" s="39">
        <v>20</v>
      </c>
      <c r="G272" s="39">
        <v>4</v>
      </c>
      <c r="H272" s="39" t="s">
        <v>3</v>
      </c>
      <c r="I272" s="39">
        <v>35.578310000000002</v>
      </c>
      <c r="J272" s="39">
        <v>0.66538200000000003</v>
      </c>
      <c r="K272" s="39">
        <v>5.6051250000000001</v>
      </c>
      <c r="L272" s="51">
        <v>-6.9999999999999999E-6</v>
      </c>
      <c r="M272" s="39">
        <v>3.6163000000000001E-2</v>
      </c>
      <c r="N272" s="39">
        <v>2.225E-3</v>
      </c>
      <c r="O272" s="39">
        <v>0.15031800000000001</v>
      </c>
      <c r="P272" s="49"/>
    </row>
    <row r="273" spans="4:16">
      <c r="D273" s="47"/>
      <c r="E273" s="39">
        <v>10</v>
      </c>
      <c r="F273" s="39">
        <v>20</v>
      </c>
      <c r="G273" s="39">
        <v>5</v>
      </c>
      <c r="H273" s="39" t="s">
        <v>4</v>
      </c>
      <c r="I273" s="39">
        <v>38.804040000000001</v>
      </c>
      <c r="J273" s="39">
        <v>0.64807899999999996</v>
      </c>
      <c r="K273" s="39">
        <v>5.5488999999999997</v>
      </c>
      <c r="L273" s="51">
        <v>-1.7E-6</v>
      </c>
      <c r="M273" s="39">
        <v>3.2353E-2</v>
      </c>
      <c r="N273" s="39">
        <v>1.8450000000000001E-3</v>
      </c>
      <c r="O273" s="39">
        <v>0.109026</v>
      </c>
      <c r="P273" s="49"/>
    </row>
    <row r="274" spans="4:16">
      <c r="D274" s="47"/>
      <c r="E274" s="39">
        <v>10</v>
      </c>
      <c r="F274" s="39">
        <v>20</v>
      </c>
      <c r="G274" s="39">
        <v>6</v>
      </c>
      <c r="H274" s="39" t="s">
        <v>5</v>
      </c>
      <c r="I274" s="39">
        <v>50.113700000000001</v>
      </c>
      <c r="J274" s="39">
        <v>0.62095100000000003</v>
      </c>
      <c r="K274" s="39">
        <v>4.9466380000000001</v>
      </c>
      <c r="L274" s="51">
        <v>-5.3000000000000001E-7</v>
      </c>
      <c r="M274" s="39">
        <v>3.8724000000000001E-2</v>
      </c>
      <c r="N274" s="39">
        <v>1.7260000000000001E-3</v>
      </c>
      <c r="O274" s="39">
        <v>0.115411</v>
      </c>
      <c r="P274" s="49"/>
    </row>
    <row r="275" spans="4:16">
      <c r="D275" s="47"/>
      <c r="E275" s="39">
        <v>10</v>
      </c>
      <c r="F275" s="39">
        <v>20</v>
      </c>
      <c r="G275" s="39">
        <v>7</v>
      </c>
      <c r="H275" s="39" t="s">
        <v>6</v>
      </c>
      <c r="I275" s="39">
        <v>57.996319999999997</v>
      </c>
      <c r="J275" s="39">
        <v>0.53881500000000004</v>
      </c>
      <c r="K275" s="39">
        <v>7.2200769999999999</v>
      </c>
      <c r="L275" s="51">
        <v>3.67E-6</v>
      </c>
      <c r="M275" s="39">
        <v>3.2787999999999998E-2</v>
      </c>
      <c r="N275" s="39">
        <v>1.639E-3</v>
      </c>
      <c r="O275" s="39">
        <v>7.7110999999999999E-2</v>
      </c>
      <c r="P275" s="49"/>
    </row>
    <row r="276" spans="4:16">
      <c r="D276" s="47"/>
      <c r="E276" s="39">
        <v>10</v>
      </c>
      <c r="F276" s="39">
        <v>20</v>
      </c>
      <c r="G276" s="39">
        <v>8</v>
      </c>
      <c r="H276" s="39" t="s">
        <v>7</v>
      </c>
      <c r="I276" s="39">
        <v>98.675560000000004</v>
      </c>
      <c r="J276" s="39">
        <v>0.29145900000000002</v>
      </c>
      <c r="K276" s="39">
        <v>7.4818910000000001</v>
      </c>
      <c r="L276" s="51">
        <v>-2.7999999999999999E-6</v>
      </c>
      <c r="M276" s="39">
        <v>5.1638000000000003E-2</v>
      </c>
      <c r="N276" s="39">
        <v>3.57E-4</v>
      </c>
      <c r="O276" s="39">
        <v>5.1733000000000001E-2</v>
      </c>
      <c r="P276" s="49"/>
    </row>
    <row r="277" spans="4:16">
      <c r="D277" s="47"/>
      <c r="E277" s="39">
        <v>10</v>
      </c>
      <c r="F277" s="39">
        <v>20</v>
      </c>
      <c r="G277" s="39">
        <v>9</v>
      </c>
      <c r="H277" s="39" t="s">
        <v>8</v>
      </c>
      <c r="I277" s="39">
        <v>144.91630000000001</v>
      </c>
      <c r="J277" s="39">
        <v>0.48770400000000003</v>
      </c>
      <c r="K277" s="39">
        <v>4.6786009999999996</v>
      </c>
      <c r="L277" s="51">
        <v>-2.6999999999999999E-5</v>
      </c>
      <c r="M277" s="39">
        <v>4.8637E-2</v>
      </c>
      <c r="N277" s="39">
        <v>5.9800000000000001E-4</v>
      </c>
      <c r="O277" s="39">
        <v>3.1136E-2</v>
      </c>
      <c r="P277" s="49"/>
    </row>
    <row r="278" spans="4:16">
      <c r="D278" s="47"/>
      <c r="E278" s="39">
        <v>10</v>
      </c>
      <c r="F278" s="39">
        <v>20</v>
      </c>
      <c r="G278" s="39">
        <v>10</v>
      </c>
      <c r="H278" s="39" t="s">
        <v>9</v>
      </c>
      <c r="I278" s="39">
        <v>128.04429999999999</v>
      </c>
      <c r="J278" s="39">
        <v>0.171373</v>
      </c>
      <c r="K278" s="39">
        <v>8.8070710000000005</v>
      </c>
      <c r="L278" s="51">
        <v>1.0200000000000001E-5</v>
      </c>
      <c r="M278" s="39">
        <v>7.4861999999999998E-2</v>
      </c>
      <c r="N278" s="39">
        <v>-5.8E-4</v>
      </c>
      <c r="O278" s="39">
        <v>4.2077000000000003E-2</v>
      </c>
      <c r="P278" s="49"/>
    </row>
    <row r="279" spans="4:16">
      <c r="D279" s="47"/>
      <c r="E279" s="39">
        <v>10</v>
      </c>
      <c r="F279" s="39">
        <v>20</v>
      </c>
      <c r="G279" s="39">
        <v>11</v>
      </c>
      <c r="H279" s="39" t="s">
        <v>10</v>
      </c>
      <c r="I279" s="39">
        <v>141.19059999999999</v>
      </c>
      <c r="J279" s="39">
        <v>0.20946999999999999</v>
      </c>
      <c r="K279" s="39">
        <v>7.6360900000000003</v>
      </c>
      <c r="L279" s="51">
        <v>6.6000000000000003E-6</v>
      </c>
      <c r="M279" s="39">
        <v>7.1932999999999997E-2</v>
      </c>
      <c r="N279" s="39">
        <v>-4.6000000000000001E-4</v>
      </c>
      <c r="O279" s="39">
        <v>3.6247000000000001E-2</v>
      </c>
      <c r="P279" s="49"/>
    </row>
    <row r="280" spans="4:16">
      <c r="D280" s="47"/>
      <c r="E280" s="39">
        <v>10</v>
      </c>
      <c r="F280" s="39">
        <v>20</v>
      </c>
      <c r="G280" s="39">
        <v>12</v>
      </c>
      <c r="H280" s="39" t="s">
        <v>11</v>
      </c>
      <c r="I280" s="39">
        <v>157.23480000000001</v>
      </c>
      <c r="J280" s="39">
        <v>0.208761</v>
      </c>
      <c r="K280" s="39">
        <v>7.0294860000000003</v>
      </c>
      <c r="L280" s="51">
        <v>4.8500000000000002E-6</v>
      </c>
      <c r="M280" s="39">
        <v>7.0434999999999998E-2</v>
      </c>
      <c r="N280" s="39">
        <v>-4.6000000000000001E-4</v>
      </c>
      <c r="O280" s="39">
        <v>3.2804E-2</v>
      </c>
      <c r="P280" s="49"/>
    </row>
    <row r="281" spans="4:16">
      <c r="D281" s="47"/>
      <c r="E281" s="39">
        <v>10</v>
      </c>
      <c r="F281" s="39">
        <v>20</v>
      </c>
      <c r="G281" s="39">
        <v>13</v>
      </c>
      <c r="H281" s="39" t="s">
        <v>12</v>
      </c>
      <c r="I281" s="39">
        <v>181.24520000000001</v>
      </c>
      <c r="J281" s="39">
        <v>0.109501</v>
      </c>
      <c r="K281" s="39">
        <v>6.8238510000000003</v>
      </c>
      <c r="L281" s="51">
        <v>2.3799999999999999E-5</v>
      </c>
      <c r="M281" s="39">
        <v>6.4107999999999998E-2</v>
      </c>
      <c r="N281" s="39">
        <v>-6.9999999999999999E-4</v>
      </c>
      <c r="O281" s="39">
        <v>2.8923999999999998E-2</v>
      </c>
      <c r="P281" s="49"/>
    </row>
    <row r="282" spans="4:16">
      <c r="D282" s="47"/>
      <c r="E282" s="39">
        <v>10</v>
      </c>
      <c r="F282" s="39">
        <v>20</v>
      </c>
      <c r="G282" s="39">
        <v>14</v>
      </c>
      <c r="H282" s="39" t="s">
        <v>14</v>
      </c>
      <c r="I282" s="39">
        <v>206.28899999999999</v>
      </c>
      <c r="J282" s="39">
        <v>0.104754</v>
      </c>
      <c r="K282" s="39">
        <v>6.7670360000000001</v>
      </c>
      <c r="L282" s="51">
        <v>2.0699999999999998E-5</v>
      </c>
      <c r="M282" s="39">
        <v>6.6994999999999999E-2</v>
      </c>
      <c r="N282" s="39">
        <v>-5.1000000000000004E-4</v>
      </c>
      <c r="O282" s="39">
        <v>2.5187000000000001E-2</v>
      </c>
      <c r="P282" s="49"/>
    </row>
    <row r="283" spans="4:16">
      <c r="D283" s="47"/>
      <c r="E283" s="39">
        <v>10</v>
      </c>
      <c r="F283" s="39">
        <v>20</v>
      </c>
      <c r="G283" s="39">
        <v>15</v>
      </c>
      <c r="H283" s="39" t="s">
        <v>15</v>
      </c>
      <c r="I283" s="39">
        <v>201.3527</v>
      </c>
      <c r="J283" s="39">
        <v>0.10059899999999999</v>
      </c>
      <c r="K283" s="39">
        <v>6.7826919999999999</v>
      </c>
      <c r="L283" s="51">
        <v>2.16E-5</v>
      </c>
      <c r="M283" s="39">
        <v>6.6796999999999995E-2</v>
      </c>
      <c r="N283" s="39">
        <v>-5.6999999999999998E-4</v>
      </c>
      <c r="O283" s="39">
        <v>2.6432000000000001E-2</v>
      </c>
      <c r="P283" s="49"/>
    </row>
    <row r="284" spans="4:16">
      <c r="D284" s="47"/>
      <c r="E284" s="39">
        <v>10</v>
      </c>
      <c r="F284" s="39">
        <v>20</v>
      </c>
      <c r="G284" s="39">
        <v>16</v>
      </c>
      <c r="H284" s="39" t="s">
        <v>16</v>
      </c>
      <c r="I284" s="39">
        <v>280.1225</v>
      </c>
      <c r="J284" s="39">
        <v>4.3376999999999999E-2</v>
      </c>
      <c r="K284" s="39">
        <v>6.3934179999999996</v>
      </c>
      <c r="L284" s="51">
        <v>4.2799999999999997E-5</v>
      </c>
      <c r="M284" s="39">
        <v>6.3198000000000004E-2</v>
      </c>
      <c r="N284" s="39">
        <v>-5.2999999999999998E-4</v>
      </c>
      <c r="O284" s="39">
        <v>1.8866000000000001E-2</v>
      </c>
      <c r="P284" s="49"/>
    </row>
    <row r="285" spans="4:16">
      <c r="D285" s="47"/>
      <c r="E285" s="39">
        <v>10</v>
      </c>
      <c r="F285" s="39">
        <v>20</v>
      </c>
      <c r="G285" s="39">
        <v>17</v>
      </c>
      <c r="H285" s="39" t="s">
        <v>17</v>
      </c>
      <c r="I285" s="39">
        <v>321.99799999999999</v>
      </c>
      <c r="J285" s="39">
        <v>7.2113999999999998E-2</v>
      </c>
      <c r="K285" s="39">
        <v>6.5146769999999998</v>
      </c>
      <c r="L285" s="51">
        <v>4.5000000000000003E-5</v>
      </c>
      <c r="M285" s="39">
        <v>6.3405000000000003E-2</v>
      </c>
      <c r="N285" s="39">
        <v>-3.5E-4</v>
      </c>
      <c r="O285" s="39">
        <v>1.6119000000000001E-2</v>
      </c>
      <c r="P285" s="49"/>
    </row>
    <row r="286" spans="4:16">
      <c r="D286" s="47"/>
      <c r="E286" s="39">
        <v>10</v>
      </c>
      <c r="F286" s="39">
        <v>20</v>
      </c>
      <c r="G286" s="39">
        <v>18</v>
      </c>
      <c r="H286" s="39" t="s">
        <v>18</v>
      </c>
      <c r="I286" s="39">
        <v>338.05459999999999</v>
      </c>
      <c r="J286" s="39">
        <v>-2.639E-2</v>
      </c>
      <c r="K286" s="39">
        <v>6.0830739999999999</v>
      </c>
      <c r="L286" s="51">
        <v>8.0400000000000003E-5</v>
      </c>
      <c r="M286" s="39">
        <v>6.0234999999999997E-2</v>
      </c>
      <c r="N286" s="39">
        <v>-5.8E-4</v>
      </c>
      <c r="O286" s="39">
        <v>1.5826E-2</v>
      </c>
      <c r="P286" s="49"/>
    </row>
    <row r="287" spans="4:16">
      <c r="D287" s="47"/>
      <c r="E287" s="39">
        <v>10</v>
      </c>
      <c r="F287" s="39">
        <v>20</v>
      </c>
      <c r="G287" s="39">
        <v>19</v>
      </c>
      <c r="H287" s="39" t="s">
        <v>19</v>
      </c>
      <c r="I287" s="39">
        <v>387.59309999999999</v>
      </c>
      <c r="J287" s="39">
        <v>-6.5850000000000006E-2</v>
      </c>
      <c r="K287" s="39">
        <v>6.067933</v>
      </c>
      <c r="L287" s="39">
        <v>1.11E-4</v>
      </c>
      <c r="M287" s="39">
        <v>6.0247000000000002E-2</v>
      </c>
      <c r="N287" s="39">
        <v>-5.8E-4</v>
      </c>
      <c r="O287" s="39">
        <v>1.4208E-2</v>
      </c>
      <c r="P287" s="49"/>
    </row>
    <row r="288" spans="4:16">
      <c r="D288" s="47"/>
      <c r="E288" s="39">
        <v>10</v>
      </c>
      <c r="F288" s="39">
        <v>20</v>
      </c>
      <c r="G288" s="39">
        <v>20</v>
      </c>
      <c r="H288" s="39" t="s">
        <v>20</v>
      </c>
      <c r="I288" s="39">
        <v>404.59289999999999</v>
      </c>
      <c r="J288" s="39">
        <v>-7.8960000000000002E-2</v>
      </c>
      <c r="K288" s="39">
        <v>5.7707790000000001</v>
      </c>
      <c r="L288" s="39">
        <v>1.16E-4</v>
      </c>
      <c r="M288" s="39">
        <v>5.8498000000000001E-2</v>
      </c>
      <c r="N288" s="39">
        <v>-5.9000000000000003E-4</v>
      </c>
      <c r="O288" s="39">
        <v>1.3767E-2</v>
      </c>
      <c r="P288" s="49"/>
    </row>
    <row r="289" spans="4:16">
      <c r="D289" s="47"/>
      <c r="E289" s="50"/>
      <c r="F289" s="50"/>
      <c r="G289" s="50"/>
      <c r="H289" s="50"/>
      <c r="I289" s="50"/>
      <c r="J289" s="50"/>
      <c r="K289" s="50"/>
      <c r="L289" s="50"/>
      <c r="M289" s="50"/>
      <c r="N289" s="50"/>
      <c r="O289" s="50"/>
      <c r="P289" s="49"/>
    </row>
    <row r="290" spans="4:16">
      <c r="D290" s="47"/>
      <c r="E290" s="22" t="s">
        <v>21</v>
      </c>
      <c r="F290" s="22" t="s">
        <v>22</v>
      </c>
      <c r="G290" s="22"/>
      <c r="H290" s="22" t="s">
        <v>13</v>
      </c>
      <c r="I290" s="22" t="s">
        <v>27</v>
      </c>
      <c r="J290" s="22" t="s">
        <v>28</v>
      </c>
      <c r="K290" s="22" t="s">
        <v>29</v>
      </c>
      <c r="L290" s="22" t="s">
        <v>30</v>
      </c>
      <c r="M290" s="22" t="s">
        <v>31</v>
      </c>
      <c r="N290" s="22" t="s">
        <v>32</v>
      </c>
      <c r="O290" s="22" t="s">
        <v>33</v>
      </c>
      <c r="P290" s="49"/>
    </row>
    <row r="291" spans="4:16">
      <c r="D291" s="47"/>
      <c r="E291" s="39">
        <v>10</v>
      </c>
      <c r="F291" s="39">
        <v>120</v>
      </c>
      <c r="G291" s="39">
        <v>1</v>
      </c>
      <c r="H291" s="39" t="s">
        <v>0</v>
      </c>
      <c r="I291" s="39">
        <v>22.815539999999999</v>
      </c>
      <c r="J291" s="39">
        <v>0.62743499999999996</v>
      </c>
      <c r="K291" s="39">
        <v>7.4965400000000004</v>
      </c>
      <c r="L291" s="51">
        <v>6.1E-6</v>
      </c>
      <c r="M291" s="39">
        <v>2.8570999999999999E-2</v>
      </c>
      <c r="N291" s="39">
        <v>6.6E-4</v>
      </c>
      <c r="O291" s="39">
        <v>0.210537</v>
      </c>
      <c r="P291" s="49"/>
    </row>
    <row r="292" spans="4:16">
      <c r="D292" s="47"/>
      <c r="E292" s="39">
        <v>10</v>
      </c>
      <c r="F292" s="39">
        <v>120</v>
      </c>
      <c r="G292" s="39">
        <v>2</v>
      </c>
      <c r="H292" s="39" t="s">
        <v>1</v>
      </c>
      <c r="I292" s="39">
        <v>30.205079999999999</v>
      </c>
      <c r="J292" s="39">
        <v>0.64361900000000005</v>
      </c>
      <c r="K292" s="39">
        <v>8.6050989999999992</v>
      </c>
      <c r="L292" s="51">
        <v>1.81E-6</v>
      </c>
      <c r="M292" s="39">
        <v>2.6853999999999999E-2</v>
      </c>
      <c r="N292" s="39">
        <v>7.6099999999999996E-4</v>
      </c>
      <c r="O292" s="39">
        <v>0.16781099999999999</v>
      </c>
      <c r="P292" s="49"/>
    </row>
    <row r="293" spans="4:16">
      <c r="D293" s="47"/>
      <c r="E293" s="39">
        <v>10</v>
      </c>
      <c r="F293" s="39">
        <v>120</v>
      </c>
      <c r="G293" s="39">
        <v>3</v>
      </c>
      <c r="H293" s="39" t="s">
        <v>2</v>
      </c>
      <c r="I293" s="39">
        <v>39.280520000000003</v>
      </c>
      <c r="J293" s="39">
        <v>0.659219</v>
      </c>
      <c r="K293" s="39">
        <v>9.3415660000000003</v>
      </c>
      <c r="L293" s="51">
        <v>1.17E-6</v>
      </c>
      <c r="M293" s="39">
        <v>2.4045E-2</v>
      </c>
      <c r="N293" s="39">
        <v>8.3299999999999997E-4</v>
      </c>
      <c r="O293" s="39">
        <v>0.129886</v>
      </c>
      <c r="P293" s="49"/>
    </row>
    <row r="294" spans="4:16">
      <c r="D294" s="47"/>
      <c r="E294" s="39">
        <v>10</v>
      </c>
      <c r="F294" s="39">
        <v>120</v>
      </c>
      <c r="G294" s="39">
        <v>4</v>
      </c>
      <c r="H294" s="39" t="s">
        <v>3</v>
      </c>
      <c r="I294" s="39">
        <v>35.772190000000002</v>
      </c>
      <c r="J294" s="39">
        <v>0.65910800000000003</v>
      </c>
      <c r="K294" s="39">
        <v>5.5992249999999997</v>
      </c>
      <c r="L294" s="51">
        <v>-6.6000000000000003E-6</v>
      </c>
      <c r="M294" s="39">
        <v>3.5853999999999997E-2</v>
      </c>
      <c r="N294" s="39">
        <v>2.2190000000000001E-3</v>
      </c>
      <c r="O294" s="39">
        <v>0.15043000000000001</v>
      </c>
      <c r="P294" s="49"/>
    </row>
    <row r="295" spans="4:16">
      <c r="D295" s="47"/>
      <c r="E295" s="39">
        <v>10</v>
      </c>
      <c r="F295" s="39">
        <v>120</v>
      </c>
      <c r="G295" s="39">
        <v>5</v>
      </c>
      <c r="H295" s="39" t="s">
        <v>4</v>
      </c>
      <c r="I295" s="39">
        <v>38.895049999999998</v>
      </c>
      <c r="J295" s="39">
        <v>0.64529999999999998</v>
      </c>
      <c r="K295" s="39">
        <v>5.4999039999999999</v>
      </c>
      <c r="L295" s="51">
        <v>-1.7E-6</v>
      </c>
      <c r="M295" s="39">
        <v>3.2330999999999999E-2</v>
      </c>
      <c r="N295" s="39">
        <v>1.833E-3</v>
      </c>
      <c r="O295" s="39">
        <v>0.10986899999999999</v>
      </c>
      <c r="P295" s="49"/>
    </row>
    <row r="296" spans="4:16">
      <c r="D296" s="47"/>
      <c r="E296" s="39">
        <v>10</v>
      </c>
      <c r="F296" s="39">
        <v>120</v>
      </c>
      <c r="G296" s="39">
        <v>6</v>
      </c>
      <c r="H296" s="39" t="s">
        <v>5</v>
      </c>
      <c r="I296" s="39">
        <v>50.114400000000003</v>
      </c>
      <c r="J296" s="39">
        <v>0.62123600000000001</v>
      </c>
      <c r="K296" s="39">
        <v>4.8433719999999996</v>
      </c>
      <c r="L296" s="51">
        <v>-1.3E-7</v>
      </c>
      <c r="M296" s="39">
        <v>3.8262999999999998E-2</v>
      </c>
      <c r="N296" s="39">
        <v>1.738E-3</v>
      </c>
      <c r="O296" s="39">
        <v>0.117116</v>
      </c>
      <c r="P296" s="49"/>
    </row>
    <row r="297" spans="4:16">
      <c r="D297" s="47"/>
      <c r="E297" s="39">
        <v>10</v>
      </c>
      <c r="F297" s="39">
        <v>120</v>
      </c>
      <c r="G297" s="39">
        <v>7</v>
      </c>
      <c r="H297" s="39" t="s">
        <v>6</v>
      </c>
      <c r="I297" s="39">
        <v>58.349710000000002</v>
      </c>
      <c r="J297" s="39">
        <v>0.53703599999999996</v>
      </c>
      <c r="K297" s="39">
        <v>7.115011</v>
      </c>
      <c r="L297" s="51">
        <v>4.16E-6</v>
      </c>
      <c r="M297" s="39">
        <v>3.2142999999999998E-2</v>
      </c>
      <c r="N297" s="39">
        <v>1.645E-3</v>
      </c>
      <c r="O297" s="39">
        <v>7.6913999999999996E-2</v>
      </c>
      <c r="P297" s="49"/>
    </row>
    <row r="298" spans="4:16">
      <c r="D298" s="47"/>
      <c r="E298" s="39">
        <v>10</v>
      </c>
      <c r="F298" s="39">
        <v>120</v>
      </c>
      <c r="G298" s="39">
        <v>8</v>
      </c>
      <c r="H298" s="39" t="s">
        <v>7</v>
      </c>
      <c r="I298" s="39">
        <v>99.124049999999997</v>
      </c>
      <c r="J298" s="39">
        <v>0.29388999999999998</v>
      </c>
      <c r="K298" s="39">
        <v>7.3155530000000004</v>
      </c>
      <c r="L298" s="51">
        <v>-2.6000000000000001E-6</v>
      </c>
      <c r="M298" s="39">
        <v>5.0960999999999999E-2</v>
      </c>
      <c r="N298" s="39">
        <v>3.68E-4</v>
      </c>
      <c r="O298" s="39">
        <v>5.1687999999999998E-2</v>
      </c>
      <c r="P298" s="49"/>
    </row>
    <row r="299" spans="4:16">
      <c r="D299" s="47"/>
      <c r="E299" s="39">
        <v>10</v>
      </c>
      <c r="F299" s="39">
        <v>120</v>
      </c>
      <c r="G299" s="39">
        <v>9</v>
      </c>
      <c r="H299" s="39" t="s">
        <v>8</v>
      </c>
      <c r="I299" s="39">
        <v>145.61070000000001</v>
      </c>
      <c r="J299" s="39">
        <v>0.48478599999999999</v>
      </c>
      <c r="K299" s="39">
        <v>4.630706</v>
      </c>
      <c r="L299" s="51">
        <v>-2.6999999999999999E-5</v>
      </c>
      <c r="M299" s="39">
        <v>4.8332E-2</v>
      </c>
      <c r="N299" s="39">
        <v>5.9599999999999996E-4</v>
      </c>
      <c r="O299" s="39">
        <v>3.1092000000000002E-2</v>
      </c>
      <c r="P299" s="49"/>
    </row>
    <row r="300" spans="4:16">
      <c r="D300" s="47"/>
      <c r="E300" s="39">
        <v>10</v>
      </c>
      <c r="F300" s="39">
        <v>120</v>
      </c>
      <c r="G300" s="39">
        <v>10</v>
      </c>
      <c r="H300" s="39" t="s">
        <v>9</v>
      </c>
      <c r="I300" s="39">
        <v>132.12389999999999</v>
      </c>
      <c r="J300" s="39">
        <v>0.18551899999999999</v>
      </c>
      <c r="K300" s="39">
        <v>7.9305120000000002</v>
      </c>
      <c r="L300" s="51">
        <v>1.17E-5</v>
      </c>
      <c r="M300" s="39">
        <v>6.9351999999999997E-2</v>
      </c>
      <c r="N300" s="39">
        <v>-4.0000000000000002E-4</v>
      </c>
      <c r="O300" s="39">
        <v>4.1549999999999997E-2</v>
      </c>
      <c r="P300" s="49"/>
    </row>
    <row r="301" spans="4:16">
      <c r="D301" s="47"/>
      <c r="E301" s="39">
        <v>10</v>
      </c>
      <c r="F301" s="39">
        <v>120</v>
      </c>
      <c r="G301" s="39">
        <v>11</v>
      </c>
      <c r="H301" s="39" t="s">
        <v>10</v>
      </c>
      <c r="I301" s="39">
        <v>145.1345</v>
      </c>
      <c r="J301" s="39">
        <v>0.21772</v>
      </c>
      <c r="K301" s="39">
        <v>6.9989129999999999</v>
      </c>
      <c r="L301" s="51">
        <v>8.3899999999999993E-6</v>
      </c>
      <c r="M301" s="39">
        <v>6.7353999999999997E-2</v>
      </c>
      <c r="N301" s="39">
        <v>-3.1E-4</v>
      </c>
      <c r="O301" s="39">
        <v>3.5692000000000002E-2</v>
      </c>
      <c r="P301" s="49"/>
    </row>
    <row r="302" spans="4:16">
      <c r="D302" s="47"/>
      <c r="E302" s="39">
        <v>10</v>
      </c>
      <c r="F302" s="39">
        <v>120</v>
      </c>
      <c r="G302" s="39">
        <v>12</v>
      </c>
      <c r="H302" s="39" t="s">
        <v>11</v>
      </c>
      <c r="I302" s="39">
        <v>161.4171</v>
      </c>
      <c r="J302" s="39">
        <v>0.214724</v>
      </c>
      <c r="K302" s="39">
        <v>6.4779809999999998</v>
      </c>
      <c r="L302" s="51">
        <v>6.9E-6</v>
      </c>
      <c r="M302" s="39">
        <v>6.6183000000000006E-2</v>
      </c>
      <c r="N302" s="39">
        <v>-3.3E-4</v>
      </c>
      <c r="O302" s="39">
        <v>3.2303999999999999E-2</v>
      </c>
      <c r="P302" s="49"/>
    </row>
    <row r="303" spans="4:16">
      <c r="D303" s="47"/>
      <c r="E303" s="39">
        <v>10</v>
      </c>
      <c r="F303" s="39">
        <v>120</v>
      </c>
      <c r="G303" s="39">
        <v>13</v>
      </c>
      <c r="H303" s="39" t="s">
        <v>12</v>
      </c>
      <c r="I303" s="39">
        <v>185.416</v>
      </c>
      <c r="J303" s="39">
        <v>0.11404499999999999</v>
      </c>
      <c r="K303" s="39">
        <v>6.3568160000000002</v>
      </c>
      <c r="L303" s="51">
        <v>2.76E-5</v>
      </c>
      <c r="M303" s="39">
        <v>6.0423999999999999E-2</v>
      </c>
      <c r="N303" s="39">
        <v>-5.6999999999999998E-4</v>
      </c>
      <c r="O303" s="39">
        <v>2.8577000000000002E-2</v>
      </c>
      <c r="P303" s="49"/>
    </row>
    <row r="304" spans="4:16">
      <c r="D304" s="47"/>
      <c r="E304" s="39">
        <v>10</v>
      </c>
      <c r="F304" s="39">
        <v>120</v>
      </c>
      <c r="G304" s="39">
        <v>14</v>
      </c>
      <c r="H304" s="39" t="s">
        <v>14</v>
      </c>
      <c r="I304" s="39">
        <v>210.8751</v>
      </c>
      <c r="J304" s="39">
        <v>0.10877100000000001</v>
      </c>
      <c r="K304" s="39">
        <v>6.3251429999999997</v>
      </c>
      <c r="L304" s="51">
        <v>2.4199999999999999E-5</v>
      </c>
      <c r="M304" s="39">
        <v>6.3541E-2</v>
      </c>
      <c r="N304" s="39">
        <v>-3.8999999999999999E-4</v>
      </c>
      <c r="O304" s="39">
        <v>2.4898E-2</v>
      </c>
      <c r="P304" s="49"/>
    </row>
    <row r="305" spans="4:16">
      <c r="D305" s="47"/>
      <c r="E305" s="39">
        <v>10</v>
      </c>
      <c r="F305" s="39">
        <v>120</v>
      </c>
      <c r="G305" s="39">
        <v>15</v>
      </c>
      <c r="H305" s="39" t="s">
        <v>15</v>
      </c>
      <c r="I305" s="39">
        <v>205.93879999999999</v>
      </c>
      <c r="J305" s="39">
        <v>0.10565099999999999</v>
      </c>
      <c r="K305" s="39">
        <v>6.3241649999999998</v>
      </c>
      <c r="L305" s="51">
        <v>2.5000000000000001E-5</v>
      </c>
      <c r="M305" s="39">
        <v>6.3156000000000004E-2</v>
      </c>
      <c r="N305" s="39">
        <v>-4.4000000000000002E-4</v>
      </c>
      <c r="O305" s="39">
        <v>2.6100999999999999E-2</v>
      </c>
      <c r="P305" s="49"/>
    </row>
    <row r="306" spans="4:16">
      <c r="D306" s="47"/>
      <c r="E306" s="39">
        <v>10</v>
      </c>
      <c r="F306" s="39">
        <v>120</v>
      </c>
      <c r="G306" s="39">
        <v>16</v>
      </c>
      <c r="H306" s="39" t="s">
        <v>16</v>
      </c>
      <c r="I306" s="39">
        <v>285.4486</v>
      </c>
      <c r="J306" s="39">
        <v>4.4214000000000003E-2</v>
      </c>
      <c r="K306" s="39">
        <v>6.0328809999999997</v>
      </c>
      <c r="L306" s="51">
        <v>4.8600000000000002E-5</v>
      </c>
      <c r="M306" s="39">
        <v>6.0379000000000002E-2</v>
      </c>
      <c r="N306" s="39">
        <v>-4.2999999999999999E-4</v>
      </c>
      <c r="O306" s="39">
        <v>1.8735999999999999E-2</v>
      </c>
      <c r="P306" s="49"/>
    </row>
    <row r="307" spans="4:16">
      <c r="D307" s="47"/>
      <c r="E307" s="39">
        <v>10</v>
      </c>
      <c r="F307" s="39">
        <v>120</v>
      </c>
      <c r="G307" s="39">
        <v>17</v>
      </c>
      <c r="H307" s="39" t="s">
        <v>17</v>
      </c>
      <c r="I307" s="39">
        <v>327.9357</v>
      </c>
      <c r="J307" s="39">
        <v>7.1027000000000007E-2</v>
      </c>
      <c r="K307" s="39">
        <v>6.1767339999999997</v>
      </c>
      <c r="L307" s="51">
        <v>5.1400000000000003E-5</v>
      </c>
      <c r="M307" s="39">
        <v>6.0765E-2</v>
      </c>
      <c r="N307" s="39">
        <v>-2.5999999999999998E-4</v>
      </c>
      <c r="O307" s="39">
        <v>1.6034E-2</v>
      </c>
      <c r="P307" s="49"/>
    </row>
    <row r="308" spans="4:16">
      <c r="D308" s="47"/>
      <c r="E308" s="39">
        <v>10</v>
      </c>
      <c r="F308" s="39">
        <v>120</v>
      </c>
      <c r="G308" s="39">
        <v>18</v>
      </c>
      <c r="H308" s="39" t="s">
        <v>18</v>
      </c>
      <c r="I308" s="39">
        <v>343.5652</v>
      </c>
      <c r="J308" s="39">
        <v>-2.6540000000000001E-2</v>
      </c>
      <c r="K308" s="39">
        <v>5.7729790000000003</v>
      </c>
      <c r="L308" s="51">
        <v>8.8399999999999994E-5</v>
      </c>
      <c r="M308" s="39">
        <v>5.7879E-2</v>
      </c>
      <c r="N308" s="39">
        <v>-4.8999999999999998E-4</v>
      </c>
      <c r="O308" s="39">
        <v>1.5762000000000002E-2</v>
      </c>
      <c r="P308" s="49"/>
    </row>
    <row r="309" spans="4:16">
      <c r="D309" s="47"/>
      <c r="E309" s="39">
        <v>10</v>
      </c>
      <c r="F309" s="39">
        <v>120</v>
      </c>
      <c r="G309" s="39">
        <v>19</v>
      </c>
      <c r="H309" s="39" t="s">
        <v>19</v>
      </c>
      <c r="I309" s="39">
        <v>393.63010000000003</v>
      </c>
      <c r="J309" s="39">
        <v>-6.5579999999999999E-2</v>
      </c>
      <c r="K309" s="39">
        <v>5.7617099999999999</v>
      </c>
      <c r="L309" s="39">
        <v>1.2E-4</v>
      </c>
      <c r="M309" s="39">
        <v>5.8006000000000002E-2</v>
      </c>
      <c r="N309" s="39">
        <v>-5.0000000000000001E-4</v>
      </c>
      <c r="O309" s="39">
        <v>1.4167000000000001E-2</v>
      </c>
      <c r="P309" s="49"/>
    </row>
    <row r="310" spans="4:16">
      <c r="D310" s="47"/>
      <c r="E310" s="39">
        <v>10</v>
      </c>
      <c r="F310" s="39">
        <v>120</v>
      </c>
      <c r="G310" s="39">
        <v>20</v>
      </c>
      <c r="H310" s="39" t="s">
        <v>20</v>
      </c>
      <c r="I310" s="39">
        <v>410.59809999999999</v>
      </c>
      <c r="J310" s="39">
        <v>-7.8810000000000005E-2</v>
      </c>
      <c r="K310" s="39">
        <v>5.4814410000000002</v>
      </c>
      <c r="L310" s="39">
        <v>1.26E-4</v>
      </c>
      <c r="M310" s="39">
        <v>5.6376999999999997E-2</v>
      </c>
      <c r="N310" s="39">
        <v>-5.1999999999999995E-4</v>
      </c>
      <c r="O310" s="39">
        <v>1.3731999999999999E-2</v>
      </c>
      <c r="P310" s="49"/>
    </row>
    <row r="311" spans="4:16">
      <c r="D311" s="47"/>
      <c r="E311" s="50"/>
      <c r="F311" s="50"/>
      <c r="G311" s="50"/>
      <c r="H311" s="50"/>
      <c r="I311" s="50"/>
      <c r="J311" s="50"/>
      <c r="K311" s="50"/>
      <c r="L311" s="50"/>
      <c r="M311" s="50"/>
      <c r="N311" s="50"/>
      <c r="O311" s="50"/>
      <c r="P311" s="49"/>
    </row>
    <row r="312" spans="4:16">
      <c r="D312" s="47"/>
      <c r="E312" s="22" t="s">
        <v>21</v>
      </c>
      <c r="F312" s="22" t="s">
        <v>22</v>
      </c>
      <c r="G312" s="22"/>
      <c r="H312" s="22" t="s">
        <v>13</v>
      </c>
      <c r="I312" s="22" t="s">
        <v>27</v>
      </c>
      <c r="J312" s="22" t="s">
        <v>28</v>
      </c>
      <c r="K312" s="22" t="s">
        <v>29</v>
      </c>
      <c r="L312" s="22" t="s">
        <v>30</v>
      </c>
      <c r="M312" s="22" t="s">
        <v>31</v>
      </c>
      <c r="N312" s="22" t="s">
        <v>32</v>
      </c>
      <c r="O312" s="22" t="s">
        <v>33</v>
      </c>
      <c r="P312" s="49"/>
    </row>
    <row r="313" spans="4:16">
      <c r="D313" s="47"/>
      <c r="E313" s="39">
        <v>10</v>
      </c>
      <c r="F313" s="39">
        <v>300</v>
      </c>
      <c r="G313" s="39">
        <v>1</v>
      </c>
      <c r="H313" s="39" t="s">
        <v>0</v>
      </c>
      <c r="I313" s="52">
        <v>22.830760000000001</v>
      </c>
      <c r="J313" s="39">
        <v>0.61824599999999996</v>
      </c>
      <c r="K313" s="39">
        <v>7.3051599999999999</v>
      </c>
      <c r="L313" s="51">
        <v>5.5400000000000003E-6</v>
      </c>
      <c r="M313" s="39">
        <v>2.8754999999999999E-2</v>
      </c>
      <c r="N313" s="39">
        <v>6.3199999999999997E-4</v>
      </c>
      <c r="O313" s="53">
        <v>0.22561600000000001</v>
      </c>
      <c r="P313" s="49"/>
    </row>
    <row r="314" spans="4:16">
      <c r="D314" s="47"/>
      <c r="E314" s="39">
        <v>10</v>
      </c>
      <c r="F314" s="39">
        <v>300</v>
      </c>
      <c r="G314" s="39">
        <v>2</v>
      </c>
      <c r="H314" s="39" t="s">
        <v>1</v>
      </c>
      <c r="I314" s="52">
        <v>30.358689999999999</v>
      </c>
      <c r="J314" s="39">
        <v>0.632992</v>
      </c>
      <c r="K314" s="39">
        <v>8.3793600000000001</v>
      </c>
      <c r="L314" s="51">
        <v>1.15E-6</v>
      </c>
      <c r="M314" s="39">
        <v>2.6950000000000002E-2</v>
      </c>
      <c r="N314" s="39">
        <v>7.3099999999999999E-4</v>
      </c>
      <c r="O314" s="53">
        <v>0.178449</v>
      </c>
      <c r="P314" s="49"/>
    </row>
    <row r="315" spans="4:16">
      <c r="D315" s="47"/>
      <c r="E315" s="39">
        <v>10</v>
      </c>
      <c r="F315" s="39">
        <v>300</v>
      </c>
      <c r="G315" s="39">
        <v>3</v>
      </c>
      <c r="H315" s="39" t="s">
        <v>2</v>
      </c>
      <c r="I315" s="52">
        <v>39.545729999999999</v>
      </c>
      <c r="J315" s="39">
        <v>0.64859500000000003</v>
      </c>
      <c r="K315" s="39">
        <v>9.0479409999999998</v>
      </c>
      <c r="L315" s="51">
        <v>1.8900000000000001E-7</v>
      </c>
      <c r="M315" s="39">
        <v>2.4288000000000001E-2</v>
      </c>
      <c r="N315" s="39">
        <v>7.8899999999999999E-4</v>
      </c>
      <c r="O315" s="53">
        <v>0.13924</v>
      </c>
      <c r="P315" s="49"/>
    </row>
    <row r="316" spans="4:16">
      <c r="D316" s="47"/>
      <c r="E316" s="39">
        <v>10</v>
      </c>
      <c r="F316" s="39">
        <v>300</v>
      </c>
      <c r="G316" s="39">
        <v>4</v>
      </c>
      <c r="H316" s="39" t="s">
        <v>3</v>
      </c>
      <c r="I316" s="52">
        <v>36.314169999999997</v>
      </c>
      <c r="J316" s="39">
        <v>0.64370099999999997</v>
      </c>
      <c r="K316" s="39">
        <v>5.521223</v>
      </c>
      <c r="L316" s="51">
        <v>-5.5999999999999997E-6</v>
      </c>
      <c r="M316" s="39">
        <v>3.5194000000000003E-2</v>
      </c>
      <c r="N316" s="39">
        <v>2.189E-3</v>
      </c>
      <c r="O316" s="53">
        <v>0.150954</v>
      </c>
      <c r="P316" s="49"/>
    </row>
    <row r="317" spans="4:16">
      <c r="D317" s="47"/>
      <c r="E317" s="39">
        <v>10</v>
      </c>
      <c r="F317" s="39">
        <v>300</v>
      </c>
      <c r="G317" s="39">
        <v>5</v>
      </c>
      <c r="H317" s="39" t="s">
        <v>4</v>
      </c>
      <c r="I317" s="52">
        <v>39.302010000000003</v>
      </c>
      <c r="J317" s="39">
        <v>0.62931599999999999</v>
      </c>
      <c r="K317" s="39">
        <v>5.4741720000000003</v>
      </c>
      <c r="L317" s="51">
        <v>-2.9999999999999999E-7</v>
      </c>
      <c r="M317" s="39">
        <v>3.1918000000000002E-2</v>
      </c>
      <c r="N317" s="39">
        <v>1.8129999999999999E-3</v>
      </c>
      <c r="O317" s="53">
        <v>0.11181099999999999</v>
      </c>
      <c r="P317" s="49"/>
    </row>
    <row r="318" spans="4:16">
      <c r="D318" s="47"/>
      <c r="E318" s="39">
        <v>10</v>
      </c>
      <c r="F318" s="39">
        <v>300</v>
      </c>
      <c r="G318" s="39">
        <v>6</v>
      </c>
      <c r="H318" s="39" t="s">
        <v>5</v>
      </c>
      <c r="I318" s="52">
        <v>50.515509999999999</v>
      </c>
      <c r="J318" s="39">
        <v>0.61550300000000002</v>
      </c>
      <c r="K318" s="39">
        <v>4.6718970000000004</v>
      </c>
      <c r="L318" s="51">
        <v>1.04E-6</v>
      </c>
      <c r="M318" s="39">
        <v>3.7671999999999997E-2</v>
      </c>
      <c r="N318" s="39">
        <v>1.7149999999999999E-3</v>
      </c>
      <c r="O318" s="53">
        <v>0.11844300000000001</v>
      </c>
      <c r="P318" s="49"/>
    </row>
    <row r="319" spans="4:16">
      <c r="D319" s="47"/>
      <c r="E319" s="39">
        <v>10</v>
      </c>
      <c r="F319" s="39">
        <v>300</v>
      </c>
      <c r="G319" s="39">
        <v>7</v>
      </c>
      <c r="H319" s="39" t="s">
        <v>6</v>
      </c>
      <c r="I319" s="52">
        <v>59.111820000000002</v>
      </c>
      <c r="J319" s="39">
        <v>0.53488800000000003</v>
      </c>
      <c r="K319" s="39">
        <v>6.8549569999999997</v>
      </c>
      <c r="L319" s="51">
        <v>4.9599999999999999E-6</v>
      </c>
      <c r="M319" s="39">
        <v>3.1510000000000003E-2</v>
      </c>
      <c r="N319" s="39">
        <v>1.6130000000000001E-3</v>
      </c>
      <c r="O319" s="53">
        <v>7.6258999999999993E-2</v>
      </c>
      <c r="P319" s="49"/>
    </row>
    <row r="320" spans="4:16">
      <c r="D320" s="47"/>
      <c r="E320" s="39">
        <v>10</v>
      </c>
      <c r="F320" s="39">
        <v>300</v>
      </c>
      <c r="G320" s="39">
        <v>8</v>
      </c>
      <c r="H320" s="39" t="s">
        <v>7</v>
      </c>
      <c r="I320" s="52">
        <v>100.86669999999999</v>
      </c>
      <c r="J320" s="39">
        <v>0.29395700000000002</v>
      </c>
      <c r="K320" s="39">
        <v>6.8771319999999996</v>
      </c>
      <c r="L320" s="51">
        <v>-6.1999999999999999E-7</v>
      </c>
      <c r="M320" s="39">
        <v>4.9736000000000002E-2</v>
      </c>
      <c r="N320" s="39">
        <v>3.3599999999999998E-4</v>
      </c>
      <c r="O320" s="53">
        <v>5.1312999999999998E-2</v>
      </c>
      <c r="P320" s="49"/>
    </row>
    <row r="321" spans="4:16">
      <c r="D321" s="47"/>
      <c r="E321" s="39">
        <v>10</v>
      </c>
      <c r="F321" s="39">
        <v>300</v>
      </c>
      <c r="G321" s="39">
        <v>9</v>
      </c>
      <c r="H321" s="39" t="s">
        <v>8</v>
      </c>
      <c r="I321" s="52">
        <v>147.57509999999999</v>
      </c>
      <c r="J321" s="39">
        <v>0.47831200000000001</v>
      </c>
      <c r="K321" s="39">
        <v>4.4645400000000004</v>
      </c>
      <c r="L321" s="51">
        <v>-2.5999999999999998E-5</v>
      </c>
      <c r="M321" s="39">
        <v>4.7697999999999997E-2</v>
      </c>
      <c r="N321" s="39">
        <v>5.7700000000000004E-4</v>
      </c>
      <c r="O321" s="53">
        <v>3.0939000000000001E-2</v>
      </c>
      <c r="P321" s="49"/>
    </row>
    <row r="322" spans="4:16">
      <c r="D322" s="47"/>
      <c r="E322" s="39">
        <v>10</v>
      </c>
      <c r="F322" s="39">
        <v>300</v>
      </c>
      <c r="G322" s="39">
        <v>10</v>
      </c>
      <c r="H322" s="39" t="s">
        <v>9</v>
      </c>
      <c r="I322" s="52">
        <v>135.4435</v>
      </c>
      <c r="J322" s="39">
        <v>0.19347700000000001</v>
      </c>
      <c r="K322" s="39">
        <v>7.168291</v>
      </c>
      <c r="L322" s="51">
        <v>1.3699999999999999E-5</v>
      </c>
      <c r="M322" s="39">
        <v>6.7230999999999999E-2</v>
      </c>
      <c r="N322" s="39">
        <v>-4.2000000000000002E-4</v>
      </c>
      <c r="O322" s="53">
        <v>4.1229000000000002E-2</v>
      </c>
      <c r="P322" s="49"/>
    </row>
    <row r="323" spans="4:16">
      <c r="D323" s="47"/>
      <c r="E323" s="39">
        <v>10</v>
      </c>
      <c r="F323" s="39">
        <v>300</v>
      </c>
      <c r="G323" s="39">
        <v>11</v>
      </c>
      <c r="H323" s="39" t="s">
        <v>10</v>
      </c>
      <c r="I323" s="52">
        <v>148.43709999999999</v>
      </c>
      <c r="J323" s="39">
        <v>0.221801</v>
      </c>
      <c r="K323" s="39">
        <v>6.4263779999999997</v>
      </c>
      <c r="L323" s="51">
        <v>1.06E-5</v>
      </c>
      <c r="M323" s="39">
        <v>6.5481999999999999E-2</v>
      </c>
      <c r="N323" s="39">
        <v>-3.3E-4</v>
      </c>
      <c r="O323" s="53">
        <v>3.5283000000000002E-2</v>
      </c>
      <c r="P323" s="49"/>
    </row>
    <row r="324" spans="4:16">
      <c r="D324" s="47"/>
      <c r="E324" s="39">
        <v>10</v>
      </c>
      <c r="F324" s="39">
        <v>300</v>
      </c>
      <c r="G324" s="39">
        <v>12</v>
      </c>
      <c r="H324" s="39" t="s">
        <v>11</v>
      </c>
      <c r="I324" s="52">
        <v>164.88849999999999</v>
      </c>
      <c r="J324" s="39">
        <v>0.21746299999999999</v>
      </c>
      <c r="K324" s="39">
        <v>5.9748559999999999</v>
      </c>
      <c r="L324" s="51">
        <v>9.2900000000000008E-6</v>
      </c>
      <c r="M324" s="39">
        <v>6.4435999999999993E-2</v>
      </c>
      <c r="N324" s="39">
        <v>-3.4000000000000002E-4</v>
      </c>
      <c r="O324" s="53">
        <v>3.1934999999999998E-2</v>
      </c>
      <c r="P324" s="49"/>
    </row>
    <row r="325" spans="4:16">
      <c r="D325" s="47"/>
      <c r="E325" s="39">
        <v>10</v>
      </c>
      <c r="F325" s="39">
        <v>300</v>
      </c>
      <c r="G325" s="39">
        <v>13</v>
      </c>
      <c r="H325" s="39" t="s">
        <v>12</v>
      </c>
      <c r="I325" s="52">
        <v>188.66499999999999</v>
      </c>
      <c r="J325" s="39">
        <v>0.11282399999999999</v>
      </c>
      <c r="K325" s="39">
        <v>5.9891170000000002</v>
      </c>
      <c r="L325" s="51">
        <v>3.29E-5</v>
      </c>
      <c r="M325" s="39">
        <v>5.9022999999999999E-2</v>
      </c>
      <c r="N325" s="39">
        <v>-5.8E-4</v>
      </c>
      <c r="O325" s="53">
        <v>2.8348999999999999E-2</v>
      </c>
      <c r="P325" s="49"/>
    </row>
    <row r="326" spans="4:16">
      <c r="D326" s="47"/>
      <c r="E326" s="39">
        <v>10</v>
      </c>
      <c r="F326" s="39">
        <v>300</v>
      </c>
      <c r="G326" s="39">
        <v>14</v>
      </c>
      <c r="H326" s="39" t="s">
        <v>14</v>
      </c>
      <c r="I326" s="52">
        <v>214.47450000000001</v>
      </c>
      <c r="J326" s="39">
        <v>0.108823</v>
      </c>
      <c r="K326" s="39">
        <v>5.9513360000000004</v>
      </c>
      <c r="L326" s="51">
        <v>2.8600000000000001E-5</v>
      </c>
      <c r="M326" s="39">
        <v>6.216E-2</v>
      </c>
      <c r="N326" s="39">
        <v>-4.0000000000000002E-4</v>
      </c>
      <c r="O326" s="53">
        <v>2.4709999999999999E-2</v>
      </c>
      <c r="P326" s="49"/>
    </row>
    <row r="327" spans="4:16">
      <c r="D327" s="47"/>
      <c r="E327" s="39">
        <v>10</v>
      </c>
      <c r="F327" s="39">
        <v>300</v>
      </c>
      <c r="G327" s="39">
        <v>15</v>
      </c>
      <c r="H327" s="39" t="s">
        <v>15</v>
      </c>
      <c r="I327" s="39">
        <v>209.54050000000001</v>
      </c>
      <c r="J327" s="39">
        <v>0.10598399999999999</v>
      </c>
      <c r="K327" s="39">
        <v>5.9425929999999996</v>
      </c>
      <c r="L327" s="51">
        <v>2.9499999999999999E-5</v>
      </c>
      <c r="M327" s="39">
        <v>6.1733000000000003E-2</v>
      </c>
      <c r="N327" s="39">
        <v>-4.4999999999999999E-4</v>
      </c>
      <c r="O327" s="39">
        <v>2.588E-2</v>
      </c>
      <c r="P327" s="49"/>
    </row>
    <row r="328" spans="4:16">
      <c r="D328" s="47"/>
      <c r="E328" s="39">
        <v>10</v>
      </c>
      <c r="F328" s="39">
        <v>300</v>
      </c>
      <c r="G328" s="39">
        <v>16</v>
      </c>
      <c r="H328" s="39" t="s">
        <v>16</v>
      </c>
      <c r="I328" s="39">
        <v>289.49520000000001</v>
      </c>
      <c r="J328" s="39">
        <v>4.0729000000000001E-2</v>
      </c>
      <c r="K328" s="39">
        <v>5.7459420000000003</v>
      </c>
      <c r="L328" s="51">
        <v>5.6199999999999997E-5</v>
      </c>
      <c r="M328" s="39">
        <v>5.9264999999999998E-2</v>
      </c>
      <c r="N328" s="39">
        <v>-4.4000000000000002E-4</v>
      </c>
      <c r="O328" s="39">
        <v>1.8672000000000001E-2</v>
      </c>
      <c r="P328" s="49"/>
    </row>
    <row r="329" spans="4:16">
      <c r="D329" s="47"/>
      <c r="E329" s="39">
        <v>10</v>
      </c>
      <c r="F329" s="39">
        <v>300</v>
      </c>
      <c r="G329" s="39">
        <v>17</v>
      </c>
      <c r="H329" s="39" t="s">
        <v>17</v>
      </c>
      <c r="I329" s="39">
        <v>332.56259999999997</v>
      </c>
      <c r="J329" s="39">
        <v>6.6119999999999998E-2</v>
      </c>
      <c r="K329" s="39">
        <v>5.9013419999999996</v>
      </c>
      <c r="L329" s="51">
        <v>5.9799999999999997E-5</v>
      </c>
      <c r="M329" s="39">
        <v>5.9666999999999998E-2</v>
      </c>
      <c r="N329" s="39">
        <v>-2.7E-4</v>
      </c>
      <c r="O329" s="39">
        <v>1.6001000000000001E-2</v>
      </c>
      <c r="P329" s="49"/>
    </row>
    <row r="330" spans="4:16">
      <c r="D330" s="47"/>
      <c r="E330" s="39">
        <v>10</v>
      </c>
      <c r="F330" s="39">
        <v>300</v>
      </c>
      <c r="G330" s="39">
        <v>18</v>
      </c>
      <c r="H330" s="39" t="s">
        <v>18</v>
      </c>
      <c r="I330" s="39">
        <v>347.76010000000002</v>
      </c>
      <c r="J330" s="39">
        <v>-3.1910000000000001E-2</v>
      </c>
      <c r="K330" s="39">
        <v>5.538538</v>
      </c>
      <c r="L330" s="51">
        <v>1E-4</v>
      </c>
      <c r="M330" s="39">
        <v>5.6944000000000002E-2</v>
      </c>
      <c r="N330" s="39">
        <v>-4.8999999999999998E-4</v>
      </c>
      <c r="O330" s="39">
        <v>1.5743E-2</v>
      </c>
      <c r="P330" s="49"/>
    </row>
    <row r="331" spans="4:16">
      <c r="D331" s="47"/>
      <c r="E331" s="39">
        <v>10</v>
      </c>
      <c r="F331" s="39">
        <v>300</v>
      </c>
      <c r="G331" s="39">
        <v>19</v>
      </c>
      <c r="H331" s="39" t="s">
        <v>19</v>
      </c>
      <c r="I331" s="39">
        <v>398.24009999999998</v>
      </c>
      <c r="J331" s="39">
        <v>-7.0949999999999999E-2</v>
      </c>
      <c r="K331" s="39">
        <v>5.5310430000000004</v>
      </c>
      <c r="L331" s="39">
        <v>1.34E-4</v>
      </c>
      <c r="M331" s="39">
        <v>5.7110000000000001E-2</v>
      </c>
      <c r="N331" s="39">
        <v>-5.0000000000000001E-4</v>
      </c>
      <c r="O331" s="39">
        <v>1.4161999999999999E-2</v>
      </c>
      <c r="P331" s="49"/>
    </row>
    <row r="332" spans="4:16">
      <c r="D332" s="47"/>
      <c r="E332" s="39">
        <v>10</v>
      </c>
      <c r="F332" s="39">
        <v>300</v>
      </c>
      <c r="G332" s="39">
        <v>20</v>
      </c>
      <c r="H332" s="39" t="s">
        <v>20</v>
      </c>
      <c r="I332" s="39">
        <v>415.14460000000003</v>
      </c>
      <c r="J332" s="39">
        <v>-8.4169999999999995E-2</v>
      </c>
      <c r="K332" s="39">
        <v>5.2635370000000004</v>
      </c>
      <c r="L332" s="39">
        <v>1.3999999999999999E-4</v>
      </c>
      <c r="M332" s="39">
        <v>5.5544999999999997E-2</v>
      </c>
      <c r="N332" s="39">
        <v>-5.1999999999999995E-4</v>
      </c>
      <c r="O332" s="39">
        <v>1.3731999999999999E-2</v>
      </c>
      <c r="P332" s="49"/>
    </row>
    <row r="333" spans="4:16">
      <c r="D333" s="54"/>
      <c r="E333" s="55"/>
      <c r="F333" s="55"/>
      <c r="G333" s="55"/>
      <c r="H333" s="55"/>
      <c r="I333" s="55"/>
      <c r="J333" s="55"/>
      <c r="K333" s="55"/>
      <c r="L333" s="55"/>
      <c r="M333" s="55"/>
      <c r="N333" s="55"/>
      <c r="O333" s="55"/>
      <c r="P333" s="56"/>
    </row>
    <row r="334" spans="4:16"/>
    <row r="335" spans="4:16"/>
    <row r="336" spans="4:16"/>
    <row r="337" spans="13:43"/>
    <row r="338" spans="13:43"/>
    <row r="339" spans="13:43"/>
    <row r="340" spans="13:43">
      <c r="M340" s="57"/>
      <c r="V340" s="57"/>
      <c r="AF340" s="57"/>
      <c r="AQ340" s="57"/>
    </row>
    <row r="341" spans="13:43"/>
    <row r="342" spans="13:43"/>
    <row r="343" spans="13:43"/>
    <row r="344" spans="13:43"/>
  </sheetData>
  <customSheetViews>
    <customSheetView guid="{5C6A6B42-DFAF-4739-B7D4-CA7A880613DB}" showGridLines="0">
      <selection activeCell="R57" sqref="R57"/>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FO344"/>
  <sheetViews>
    <sheetView showGridLines="0" zoomScale="90" zoomScaleNormal="90" workbookViewId="0">
      <selection activeCell="K13" sqref="K13"/>
    </sheetView>
  </sheetViews>
  <sheetFormatPr defaultColWidth="9.21875" defaultRowHeight="13.8" zeroHeight="1"/>
  <cols>
    <col min="1" max="1" width="9.21875" style="93"/>
    <col min="2" max="2" width="4.44140625" style="94" customWidth="1"/>
    <col min="3" max="3" width="4.44140625" style="16" customWidth="1"/>
    <col min="4" max="4" width="2.77734375" style="16" customWidth="1"/>
    <col min="5" max="5" width="9.21875" style="16" bestFit="1" customWidth="1"/>
    <col min="6" max="6" width="21" style="16" customWidth="1"/>
    <col min="7" max="7" width="9.21875" style="16" bestFit="1" customWidth="1"/>
    <col min="8" max="8" width="27.21875" style="16" customWidth="1"/>
    <col min="9" max="9" width="20.77734375" style="16" customWidth="1"/>
    <col min="10" max="10" width="9.21875" style="16" bestFit="1" customWidth="1"/>
    <col min="11" max="11" width="9" style="16" customWidth="1"/>
    <col min="12" max="12" width="15.21875" style="16" customWidth="1"/>
    <col min="13" max="14" width="9.44140625" style="16" bestFit="1" customWidth="1"/>
    <col min="15" max="15" width="2" style="16" customWidth="1"/>
    <col min="16" max="16" width="0.77734375" style="16" customWidth="1"/>
    <col min="17" max="16384" width="9.21875" style="16"/>
  </cols>
  <sheetData>
    <row r="1" spans="3:16"/>
    <row r="2" spans="3:16">
      <c r="C2" s="86"/>
      <c r="D2" s="87"/>
      <c r="E2" s="58"/>
      <c r="F2" s="58"/>
      <c r="G2" s="58"/>
      <c r="H2" s="58"/>
      <c r="I2" s="58"/>
      <c r="J2" s="58"/>
      <c r="K2" s="58"/>
      <c r="L2" s="58"/>
      <c r="M2" s="58"/>
      <c r="N2" s="58"/>
      <c r="O2" s="58"/>
      <c r="P2" s="59"/>
    </row>
    <row r="3" spans="3:16" ht="45">
      <c r="C3" s="86"/>
      <c r="D3" s="81"/>
      <c r="E3" s="84" t="s">
        <v>91</v>
      </c>
      <c r="F3" s="81"/>
      <c r="G3" s="81"/>
      <c r="H3" s="81"/>
      <c r="I3" s="81"/>
      <c r="J3" s="81"/>
      <c r="K3" s="81"/>
      <c r="L3" s="81"/>
      <c r="M3" s="81"/>
      <c r="N3" s="81"/>
      <c r="O3" s="81"/>
      <c r="P3" s="10"/>
    </row>
    <row r="4" spans="3:16">
      <c r="C4" s="86"/>
      <c r="D4" s="81"/>
      <c r="E4" s="9"/>
      <c r="F4" s="9"/>
      <c r="G4" s="9"/>
      <c r="H4" s="9"/>
      <c r="I4" s="9"/>
      <c r="J4" s="9"/>
      <c r="K4" s="9"/>
      <c r="L4" s="9"/>
      <c r="M4" s="9"/>
      <c r="N4" s="9"/>
      <c r="O4" s="9"/>
      <c r="P4" s="10"/>
    </row>
    <row r="5" spans="3:16">
      <c r="C5" s="86"/>
      <c r="D5" s="81"/>
      <c r="E5" s="22" t="s">
        <v>21</v>
      </c>
      <c r="F5" s="22" t="s">
        <v>86</v>
      </c>
      <c r="G5" s="22"/>
      <c r="H5" s="22" t="s">
        <v>13</v>
      </c>
      <c r="I5" s="22" t="s">
        <v>85</v>
      </c>
      <c r="J5" s="22" t="s">
        <v>28</v>
      </c>
      <c r="K5" s="22" t="s">
        <v>29</v>
      </c>
      <c r="L5" s="22" t="s">
        <v>30</v>
      </c>
      <c r="M5" s="22" t="s">
        <v>31</v>
      </c>
      <c r="N5" s="22" t="s">
        <v>32</v>
      </c>
      <c r="O5" s="9"/>
      <c r="P5" s="10"/>
    </row>
    <row r="6" spans="3:16">
      <c r="C6" s="86"/>
      <c r="D6" s="81"/>
      <c r="E6" s="61">
        <v>0</v>
      </c>
      <c r="F6" s="61">
        <v>20</v>
      </c>
      <c r="G6" s="61">
        <v>1</v>
      </c>
      <c r="H6" s="61" t="s">
        <v>0</v>
      </c>
      <c r="I6" s="61">
        <v>6.419556</v>
      </c>
      <c r="J6" s="61">
        <v>0.44122600000000001</v>
      </c>
      <c r="K6" s="61">
        <v>12.43718</v>
      </c>
      <c r="L6" s="62">
        <v>6.6799999999999997E-5</v>
      </c>
      <c r="M6" s="61">
        <v>6.1510000000000002E-3</v>
      </c>
      <c r="N6" s="61">
        <v>0.149391</v>
      </c>
      <c r="O6" s="9"/>
      <c r="P6" s="10"/>
    </row>
    <row r="7" spans="3:16">
      <c r="C7" s="86"/>
      <c r="D7" s="81"/>
      <c r="E7" s="61">
        <v>0</v>
      </c>
      <c r="F7" s="61">
        <v>20</v>
      </c>
      <c r="G7" s="61">
        <v>2</v>
      </c>
      <c r="H7" s="61" t="s">
        <v>1</v>
      </c>
      <c r="I7" s="61">
        <v>7.7717559999999999</v>
      </c>
      <c r="J7" s="61">
        <v>0.42924800000000002</v>
      </c>
      <c r="K7" s="61">
        <v>14.42872</v>
      </c>
      <c r="L7" s="62">
        <v>5.7800000000000002E-5</v>
      </c>
      <c r="M7" s="61">
        <v>5.3639999999999998E-3</v>
      </c>
      <c r="N7" s="61">
        <v>0.122652</v>
      </c>
      <c r="O7" s="9"/>
      <c r="P7" s="10"/>
    </row>
    <row r="8" spans="3:16">
      <c r="C8" s="86"/>
      <c r="D8" s="81"/>
      <c r="E8" s="61">
        <v>0</v>
      </c>
      <c r="F8" s="61">
        <v>20</v>
      </c>
      <c r="G8" s="61">
        <v>3</v>
      </c>
      <c r="H8" s="61" t="s">
        <v>2</v>
      </c>
      <c r="I8" s="61">
        <v>9.8265069999999994</v>
      </c>
      <c r="J8" s="61">
        <v>0.47300799999999998</v>
      </c>
      <c r="K8" s="61">
        <v>15.01703</v>
      </c>
      <c r="L8" s="62">
        <v>4.6999999999999997E-5</v>
      </c>
      <c r="M8" s="61">
        <v>4.2579999999999996E-3</v>
      </c>
      <c r="N8" s="61">
        <v>8.7129999999999999E-2</v>
      </c>
      <c r="O8" s="9"/>
      <c r="P8" s="10"/>
    </row>
    <row r="9" spans="3:16">
      <c r="C9" s="86"/>
      <c r="D9" s="81"/>
      <c r="E9" s="61">
        <v>0</v>
      </c>
      <c r="F9" s="61">
        <v>20</v>
      </c>
      <c r="G9" s="61">
        <v>4</v>
      </c>
      <c r="H9" s="61" t="s">
        <v>3</v>
      </c>
      <c r="I9" s="61">
        <v>7.6094670000000004</v>
      </c>
      <c r="J9" s="61">
        <v>0.284026</v>
      </c>
      <c r="K9" s="61">
        <v>19.367519999999999</v>
      </c>
      <c r="L9" s="62">
        <v>6.9099999999999999E-5</v>
      </c>
      <c r="M9" s="61">
        <v>6.1749999999999999E-3</v>
      </c>
      <c r="N9" s="61">
        <v>0.11065800000000001</v>
      </c>
      <c r="O9" s="9"/>
      <c r="P9" s="10"/>
    </row>
    <row r="10" spans="3:16">
      <c r="C10" s="86"/>
      <c r="D10" s="81"/>
      <c r="E10" s="61">
        <v>0</v>
      </c>
      <c r="F10" s="61">
        <v>20</v>
      </c>
      <c r="G10" s="61">
        <v>5</v>
      </c>
      <c r="H10" s="61" t="s">
        <v>4</v>
      </c>
      <c r="I10" s="61">
        <v>10.24522</v>
      </c>
      <c r="J10" s="61">
        <v>0.46426699999999999</v>
      </c>
      <c r="K10" s="61">
        <v>14.11609</v>
      </c>
      <c r="L10" s="62">
        <v>5.0500000000000001E-5</v>
      </c>
      <c r="M10" s="61">
        <v>5.1479999999999998E-3</v>
      </c>
      <c r="N10" s="61">
        <v>6.3314999999999996E-2</v>
      </c>
      <c r="O10" s="9"/>
      <c r="P10" s="10"/>
    </row>
    <row r="11" spans="3:16">
      <c r="C11" s="86"/>
      <c r="D11" s="81"/>
      <c r="E11" s="61">
        <v>0</v>
      </c>
      <c r="F11" s="61">
        <v>20</v>
      </c>
      <c r="G11" s="61">
        <v>6</v>
      </c>
      <c r="H11" s="61" t="s">
        <v>5</v>
      </c>
      <c r="I11" s="61">
        <v>8.0859939999999995</v>
      </c>
      <c r="J11" s="61">
        <v>0.23907100000000001</v>
      </c>
      <c r="K11" s="61">
        <v>13.9732</v>
      </c>
      <c r="L11" s="61">
        <v>1.16E-4</v>
      </c>
      <c r="M11" s="61">
        <v>1.2784999999999999E-2</v>
      </c>
      <c r="N11" s="61">
        <v>9.9828E-2</v>
      </c>
      <c r="O11" s="9"/>
      <c r="P11" s="10"/>
    </row>
    <row r="12" spans="3:16">
      <c r="C12" s="86"/>
      <c r="D12" s="81"/>
      <c r="E12" s="61">
        <v>0</v>
      </c>
      <c r="F12" s="61">
        <v>20</v>
      </c>
      <c r="G12" s="61">
        <v>7</v>
      </c>
      <c r="H12" s="61" t="s">
        <v>6</v>
      </c>
      <c r="I12" s="61">
        <v>12.458589999999999</v>
      </c>
      <c r="J12" s="61">
        <v>0.36312</v>
      </c>
      <c r="K12" s="61">
        <v>9.564724</v>
      </c>
      <c r="L12" s="62">
        <v>9.9699999999999998E-5</v>
      </c>
      <c r="M12" s="61">
        <v>1.4855999999999999E-2</v>
      </c>
      <c r="N12" s="61">
        <v>4.8676999999999998E-2</v>
      </c>
      <c r="O12" s="9"/>
      <c r="P12" s="10"/>
    </row>
    <row r="13" spans="3:16">
      <c r="C13" s="86"/>
      <c r="D13" s="81"/>
      <c r="E13" s="61">
        <v>0</v>
      </c>
      <c r="F13" s="61">
        <v>20</v>
      </c>
      <c r="G13" s="61">
        <v>8</v>
      </c>
      <c r="H13" s="61" t="s">
        <v>7</v>
      </c>
      <c r="I13" s="61">
        <v>23.22869</v>
      </c>
      <c r="J13" s="61">
        <v>0.24373500000000001</v>
      </c>
      <c r="K13" s="61">
        <v>14.52463</v>
      </c>
      <c r="L13" s="62">
        <v>9.9500000000000006E-5</v>
      </c>
      <c r="M13" s="61">
        <v>1.2912E-2</v>
      </c>
      <c r="N13" s="61">
        <v>1.9900999999999999E-2</v>
      </c>
      <c r="O13" s="9"/>
      <c r="P13" s="10"/>
    </row>
    <row r="14" spans="3:16">
      <c r="C14" s="86"/>
      <c r="D14" s="81"/>
      <c r="E14" s="61">
        <v>0</v>
      </c>
      <c r="F14" s="61">
        <v>20</v>
      </c>
      <c r="G14" s="61">
        <v>9</v>
      </c>
      <c r="H14" s="61" t="s">
        <v>8</v>
      </c>
      <c r="I14" s="61">
        <v>23.332460000000001</v>
      </c>
      <c r="J14" s="61">
        <v>0.27102199999999999</v>
      </c>
      <c r="K14" s="61">
        <v>14.128769999999999</v>
      </c>
      <c r="L14" s="62">
        <v>6.8499999999999998E-5</v>
      </c>
      <c r="M14" s="61">
        <v>1.1434E-2</v>
      </c>
      <c r="N14" s="61">
        <v>1.9949999999999999E-2</v>
      </c>
      <c r="O14" s="9"/>
      <c r="P14" s="10"/>
    </row>
    <row r="15" spans="3:16">
      <c r="C15" s="86"/>
      <c r="D15" s="81"/>
      <c r="E15" s="61">
        <v>0</v>
      </c>
      <c r="F15" s="61">
        <v>20</v>
      </c>
      <c r="G15" s="61">
        <v>10</v>
      </c>
      <c r="H15" s="61" t="s">
        <v>9</v>
      </c>
      <c r="I15" s="61">
        <v>27.247119999999999</v>
      </c>
      <c r="J15" s="61">
        <v>0.160111</v>
      </c>
      <c r="K15" s="61">
        <v>12.59432</v>
      </c>
      <c r="L15" s="61">
        <v>1.16E-4</v>
      </c>
      <c r="M15" s="61">
        <v>1.9467000000000002E-2</v>
      </c>
      <c r="N15" s="61">
        <v>2.1968999999999999E-2</v>
      </c>
      <c r="O15" s="9"/>
      <c r="P15" s="10"/>
    </row>
    <row r="16" spans="3:16">
      <c r="C16" s="86"/>
      <c r="D16" s="81"/>
      <c r="E16" s="61">
        <v>0</v>
      </c>
      <c r="F16" s="61">
        <v>20</v>
      </c>
      <c r="G16" s="61">
        <v>11</v>
      </c>
      <c r="H16" s="61" t="s">
        <v>10</v>
      </c>
      <c r="I16" s="61">
        <v>30.449639999999999</v>
      </c>
      <c r="J16" s="61">
        <v>0.26554699999999998</v>
      </c>
      <c r="K16" s="61">
        <v>11.51051</v>
      </c>
      <c r="L16" s="61">
        <v>1.03E-4</v>
      </c>
      <c r="M16" s="61">
        <v>1.7613E-2</v>
      </c>
      <c r="N16" s="61">
        <v>1.4919E-2</v>
      </c>
      <c r="O16" s="9"/>
      <c r="P16" s="10"/>
    </row>
    <row r="17" spans="3:16">
      <c r="C17" s="86"/>
      <c r="D17" s="81"/>
      <c r="E17" s="61">
        <v>0</v>
      </c>
      <c r="F17" s="61">
        <v>20</v>
      </c>
      <c r="G17" s="61">
        <v>12</v>
      </c>
      <c r="H17" s="61" t="s">
        <v>11</v>
      </c>
      <c r="I17" s="61">
        <v>33.79927</v>
      </c>
      <c r="J17" s="61">
        <v>0.30325600000000003</v>
      </c>
      <c r="K17" s="61">
        <v>10.38151</v>
      </c>
      <c r="L17" s="62">
        <v>9.3399999999999993E-5</v>
      </c>
      <c r="M17" s="61">
        <v>1.7999000000000001E-2</v>
      </c>
      <c r="N17" s="61">
        <v>1.3406E-2</v>
      </c>
      <c r="O17" s="9"/>
      <c r="P17" s="10"/>
    </row>
    <row r="18" spans="3:16">
      <c r="C18" s="86"/>
      <c r="D18" s="81"/>
      <c r="E18" s="61">
        <v>0</v>
      </c>
      <c r="F18" s="61">
        <v>20</v>
      </c>
      <c r="G18" s="61">
        <v>13</v>
      </c>
      <c r="H18" s="61" t="s">
        <v>12</v>
      </c>
      <c r="I18" s="61">
        <v>38.14329</v>
      </c>
      <c r="J18" s="61">
        <v>0.30238399999999999</v>
      </c>
      <c r="K18" s="61">
        <v>9.0666620000000009</v>
      </c>
      <c r="L18" s="62">
        <v>8.5799999999999998E-5</v>
      </c>
      <c r="M18" s="61">
        <v>2.2069999999999999E-2</v>
      </c>
      <c r="N18" s="61">
        <v>1.1962E-2</v>
      </c>
      <c r="O18" s="9"/>
      <c r="P18" s="10"/>
    </row>
    <row r="19" spans="3:16">
      <c r="C19" s="86"/>
      <c r="D19" s="81"/>
      <c r="E19" s="61">
        <v>0</v>
      </c>
      <c r="F19" s="61">
        <v>20</v>
      </c>
      <c r="G19" s="61">
        <v>14</v>
      </c>
      <c r="H19" s="61" t="s">
        <v>14</v>
      </c>
      <c r="I19" s="61">
        <v>41.481789999999997</v>
      </c>
      <c r="J19" s="61">
        <v>0.32033</v>
      </c>
      <c r="K19" s="61">
        <v>8.3235989999999997</v>
      </c>
      <c r="L19" s="62">
        <v>7.9599999999999997E-5</v>
      </c>
      <c r="M19" s="61">
        <v>2.2113000000000001E-2</v>
      </c>
      <c r="N19" s="61">
        <v>1.0988E-2</v>
      </c>
      <c r="O19" s="9"/>
      <c r="P19" s="10"/>
    </row>
    <row r="20" spans="3:16">
      <c r="C20" s="86"/>
      <c r="D20" s="81"/>
      <c r="E20" s="61">
        <v>0</v>
      </c>
      <c r="F20" s="61">
        <v>20</v>
      </c>
      <c r="G20" s="61">
        <v>15</v>
      </c>
      <c r="H20" s="61" t="s">
        <v>15</v>
      </c>
      <c r="I20" s="61">
        <v>40.983319999999999</v>
      </c>
      <c r="J20" s="61">
        <v>0.32160899999999998</v>
      </c>
      <c r="K20" s="61">
        <v>8.4415899999999997</v>
      </c>
      <c r="L20" s="62">
        <v>8.0099999999999995E-5</v>
      </c>
      <c r="M20" s="61">
        <v>2.2176000000000001E-2</v>
      </c>
      <c r="N20" s="61">
        <v>1.1101E-2</v>
      </c>
      <c r="O20" s="9"/>
      <c r="P20" s="10"/>
    </row>
    <row r="21" spans="3:16">
      <c r="C21" s="86"/>
      <c r="D21" s="81"/>
      <c r="E21" s="61">
        <v>0</v>
      </c>
      <c r="F21" s="61">
        <v>20</v>
      </c>
      <c r="G21" s="61">
        <v>16</v>
      </c>
      <c r="H21" s="61" t="s">
        <v>16</v>
      </c>
      <c r="I21" s="61">
        <v>47.751040000000003</v>
      </c>
      <c r="J21" s="61">
        <v>0.30099300000000001</v>
      </c>
      <c r="K21" s="61">
        <v>7.1018499999999998</v>
      </c>
      <c r="L21" s="62">
        <v>7.1699999999999995E-5</v>
      </c>
      <c r="M21" s="61">
        <v>2.4566999999999999E-2</v>
      </c>
      <c r="N21" s="61">
        <v>9.6089999999999995E-3</v>
      </c>
      <c r="O21" s="9"/>
      <c r="P21" s="10"/>
    </row>
    <row r="22" spans="3:16">
      <c r="C22" s="86"/>
      <c r="D22" s="81"/>
      <c r="E22" s="61">
        <v>0</v>
      </c>
      <c r="F22" s="61">
        <v>20</v>
      </c>
      <c r="G22" s="61">
        <v>17</v>
      </c>
      <c r="H22" s="61" t="s">
        <v>17</v>
      </c>
      <c r="I22" s="61">
        <v>50.314070000000001</v>
      </c>
      <c r="J22" s="61">
        <v>0.30429</v>
      </c>
      <c r="K22" s="61">
        <v>6.7039949999999999</v>
      </c>
      <c r="L22" s="62">
        <v>6.8899999999999994E-5</v>
      </c>
      <c r="M22" s="61">
        <v>2.4871000000000001E-2</v>
      </c>
      <c r="N22" s="61">
        <v>9.1319999999999995E-3</v>
      </c>
      <c r="O22" s="9"/>
      <c r="P22" s="10"/>
    </row>
    <row r="23" spans="3:16">
      <c r="C23" s="86"/>
      <c r="D23" s="81"/>
      <c r="E23" s="61">
        <v>0</v>
      </c>
      <c r="F23" s="61">
        <v>20</v>
      </c>
      <c r="G23" s="61">
        <v>18</v>
      </c>
      <c r="H23" s="61" t="s">
        <v>18</v>
      </c>
      <c r="I23" s="61">
        <v>54.292319999999997</v>
      </c>
      <c r="J23" s="61">
        <v>0.28753600000000001</v>
      </c>
      <c r="K23" s="61">
        <v>6.0893899999999999</v>
      </c>
      <c r="L23" s="62">
        <v>6.6400000000000001E-5</v>
      </c>
      <c r="M23" s="61">
        <v>2.7661999999999999E-2</v>
      </c>
      <c r="N23" s="61">
        <v>8.5290000000000001E-3</v>
      </c>
      <c r="O23" s="9"/>
      <c r="P23" s="10"/>
    </row>
    <row r="24" spans="3:16">
      <c r="C24" s="86"/>
      <c r="D24" s="81"/>
      <c r="E24" s="61">
        <v>0</v>
      </c>
      <c r="F24" s="61">
        <v>20</v>
      </c>
      <c r="G24" s="61">
        <v>19</v>
      </c>
      <c r="H24" s="61" t="s">
        <v>19</v>
      </c>
      <c r="I24" s="61">
        <v>58.665950000000002</v>
      </c>
      <c r="J24" s="61">
        <v>0.27657999999999999</v>
      </c>
      <c r="K24" s="61">
        <v>5.5474810000000003</v>
      </c>
      <c r="L24" s="62">
        <v>6.3899999999999995E-5</v>
      </c>
      <c r="M24" s="61">
        <v>2.9925E-2</v>
      </c>
      <c r="N24" s="61">
        <v>7.9399999999999991E-3</v>
      </c>
      <c r="O24" s="9"/>
      <c r="P24" s="10"/>
    </row>
    <row r="25" spans="3:16">
      <c r="C25" s="86"/>
      <c r="D25" s="81"/>
      <c r="E25" s="61">
        <v>0</v>
      </c>
      <c r="F25" s="61">
        <v>20</v>
      </c>
      <c r="G25" s="28">
        <v>20</v>
      </c>
      <c r="H25" s="61" t="s">
        <v>20</v>
      </c>
      <c r="I25" s="61">
        <v>61.239170000000001</v>
      </c>
      <c r="J25" s="61">
        <v>0.28002700000000003</v>
      </c>
      <c r="K25" s="61">
        <v>5.2831650000000003</v>
      </c>
      <c r="L25" s="62">
        <v>6.2000000000000003E-5</v>
      </c>
      <c r="M25" s="61">
        <v>2.9966E-2</v>
      </c>
      <c r="N25" s="61">
        <v>7.613E-3</v>
      </c>
      <c r="O25" s="9"/>
      <c r="P25" s="10"/>
    </row>
    <row r="26" spans="3:16">
      <c r="C26" s="86"/>
      <c r="D26" s="81"/>
      <c r="E26" s="63"/>
      <c r="F26" s="64"/>
      <c r="G26" s="64"/>
      <c r="H26" s="64"/>
      <c r="I26" s="64"/>
      <c r="J26" s="64"/>
      <c r="K26" s="64"/>
      <c r="L26" s="64"/>
      <c r="M26" s="64"/>
      <c r="N26" s="64"/>
      <c r="O26" s="9"/>
      <c r="P26" s="10"/>
    </row>
    <row r="27" spans="3:16">
      <c r="C27" s="86"/>
      <c r="D27" s="81"/>
      <c r="E27" s="22" t="s">
        <v>21</v>
      </c>
      <c r="F27" s="22" t="s">
        <v>86</v>
      </c>
      <c r="G27" s="22"/>
      <c r="H27" s="22" t="s">
        <v>13</v>
      </c>
      <c r="I27" s="22" t="s">
        <v>85</v>
      </c>
      <c r="J27" s="22" t="s">
        <v>28</v>
      </c>
      <c r="K27" s="22" t="s">
        <v>29</v>
      </c>
      <c r="L27" s="22" t="s">
        <v>30</v>
      </c>
      <c r="M27" s="22" t="s">
        <v>31</v>
      </c>
      <c r="N27" s="22" t="s">
        <v>32</v>
      </c>
      <c r="O27" s="9"/>
      <c r="P27" s="10"/>
    </row>
    <row r="28" spans="3:16">
      <c r="C28" s="86"/>
      <c r="D28" s="81"/>
      <c r="E28" s="61">
        <v>0</v>
      </c>
      <c r="F28" s="61">
        <v>120</v>
      </c>
      <c r="G28" s="61">
        <v>1</v>
      </c>
      <c r="H28" s="61" t="s">
        <v>0</v>
      </c>
      <c r="I28" s="61">
        <v>6.420102</v>
      </c>
      <c r="J28" s="61">
        <v>0.43923400000000001</v>
      </c>
      <c r="K28" s="61">
        <v>12.28431</v>
      </c>
      <c r="L28" s="62">
        <v>6.7000000000000002E-5</v>
      </c>
      <c r="M28" s="61">
        <v>5.8929999999999998E-3</v>
      </c>
      <c r="N28" s="61">
        <v>0.15752099999999999</v>
      </c>
      <c r="O28" s="9"/>
      <c r="P28" s="10"/>
    </row>
    <row r="29" spans="3:16">
      <c r="C29" s="86"/>
      <c r="D29" s="81"/>
      <c r="E29" s="61">
        <v>0</v>
      </c>
      <c r="F29" s="61">
        <v>120</v>
      </c>
      <c r="G29" s="61">
        <v>2</v>
      </c>
      <c r="H29" s="61" t="s">
        <v>1</v>
      </c>
      <c r="I29" s="61">
        <v>7.7754760000000003</v>
      </c>
      <c r="J29" s="61">
        <v>0.42409000000000002</v>
      </c>
      <c r="K29" s="61">
        <v>14.30184</v>
      </c>
      <c r="L29" s="62">
        <v>5.8400000000000003E-5</v>
      </c>
      <c r="M29" s="61">
        <v>5.0730000000000003E-3</v>
      </c>
      <c r="N29" s="61">
        <v>0.130745</v>
      </c>
      <c r="O29" s="9"/>
      <c r="P29" s="10"/>
    </row>
    <row r="30" spans="3:16">
      <c r="C30" s="86"/>
      <c r="D30" s="81"/>
      <c r="E30" s="61">
        <v>0</v>
      </c>
      <c r="F30" s="61">
        <v>120</v>
      </c>
      <c r="G30" s="61">
        <v>3</v>
      </c>
      <c r="H30" s="61" t="s">
        <v>2</v>
      </c>
      <c r="I30" s="61">
        <v>9.8326910000000005</v>
      </c>
      <c r="J30" s="61">
        <v>0.46623599999999998</v>
      </c>
      <c r="K30" s="61">
        <v>14.903560000000001</v>
      </c>
      <c r="L30" s="62">
        <v>4.7800000000000003E-5</v>
      </c>
      <c r="M30" s="61">
        <v>3.9360000000000003E-3</v>
      </c>
      <c r="N30" s="61">
        <v>9.4725000000000004E-2</v>
      </c>
      <c r="O30" s="9"/>
      <c r="P30" s="10"/>
    </row>
    <row r="31" spans="3:16">
      <c r="C31" s="86"/>
      <c r="D31" s="81"/>
      <c r="E31" s="61">
        <v>0</v>
      </c>
      <c r="F31" s="61">
        <v>120</v>
      </c>
      <c r="G31" s="61">
        <v>4</v>
      </c>
      <c r="H31" s="61" t="s">
        <v>3</v>
      </c>
      <c r="I31" s="61">
        <v>7.6164449999999997</v>
      </c>
      <c r="J31" s="61">
        <v>0.249977</v>
      </c>
      <c r="K31" s="61">
        <v>19.61225</v>
      </c>
      <c r="L31" s="62">
        <v>7.3399999999999995E-5</v>
      </c>
      <c r="M31" s="61">
        <v>5.816E-3</v>
      </c>
      <c r="N31" s="61">
        <v>0.12224400000000001</v>
      </c>
      <c r="O31" s="9"/>
      <c r="P31" s="10"/>
    </row>
    <row r="32" spans="3:16">
      <c r="C32" s="86"/>
      <c r="D32" s="81"/>
      <c r="E32" s="61">
        <v>0</v>
      </c>
      <c r="F32" s="61">
        <v>120</v>
      </c>
      <c r="G32" s="61">
        <v>5</v>
      </c>
      <c r="H32" s="61" t="s">
        <v>4</v>
      </c>
      <c r="I32" s="61">
        <v>10.255660000000001</v>
      </c>
      <c r="J32" s="61">
        <v>0.43898399999999999</v>
      </c>
      <c r="K32" s="61">
        <v>14.398110000000001</v>
      </c>
      <c r="L32" s="62">
        <v>5.4599999999999999E-5</v>
      </c>
      <c r="M32" s="61">
        <v>4.8500000000000001E-3</v>
      </c>
      <c r="N32" s="61">
        <v>6.8035999999999999E-2</v>
      </c>
      <c r="O32" s="9"/>
      <c r="P32" s="10"/>
    </row>
    <row r="33" spans="3:16">
      <c r="C33" s="86"/>
      <c r="D33" s="81"/>
      <c r="E33" s="61">
        <v>0</v>
      </c>
      <c r="F33" s="61">
        <v>120</v>
      </c>
      <c r="G33" s="61">
        <v>6</v>
      </c>
      <c r="H33" s="61" t="s">
        <v>5</v>
      </c>
      <c r="I33" s="61">
        <v>8.0863639999999997</v>
      </c>
      <c r="J33" s="61">
        <v>0.22589400000000001</v>
      </c>
      <c r="K33" s="61">
        <v>14.057840000000001</v>
      </c>
      <c r="L33" s="61">
        <v>1.1900000000000001E-4</v>
      </c>
      <c r="M33" s="61">
        <v>1.2559000000000001E-2</v>
      </c>
      <c r="N33" s="61">
        <v>0.10270700000000001</v>
      </c>
      <c r="O33" s="9"/>
      <c r="P33" s="10"/>
    </row>
    <row r="34" spans="3:16">
      <c r="C34" s="86"/>
      <c r="D34" s="81"/>
      <c r="E34" s="61">
        <v>0</v>
      </c>
      <c r="F34" s="61">
        <v>120</v>
      </c>
      <c r="G34" s="61">
        <v>7</v>
      </c>
      <c r="H34" s="61" t="s">
        <v>6</v>
      </c>
      <c r="I34" s="61">
        <v>12.46055</v>
      </c>
      <c r="J34" s="61">
        <v>0.26120500000000002</v>
      </c>
      <c r="K34" s="61">
        <v>10.88355</v>
      </c>
      <c r="L34" s="61">
        <v>1.16E-4</v>
      </c>
      <c r="M34" s="61">
        <v>1.4085E-2</v>
      </c>
      <c r="N34" s="61">
        <v>5.3823000000000003E-2</v>
      </c>
      <c r="O34" s="9"/>
      <c r="P34" s="10"/>
    </row>
    <row r="35" spans="3:16">
      <c r="C35" s="86"/>
      <c r="D35" s="81"/>
      <c r="E35" s="61">
        <v>0</v>
      </c>
      <c r="F35" s="61">
        <v>120</v>
      </c>
      <c r="G35" s="61">
        <v>8</v>
      </c>
      <c r="H35" s="61" t="s">
        <v>7</v>
      </c>
      <c r="I35" s="61">
        <v>23.239100000000001</v>
      </c>
      <c r="J35" s="61">
        <v>0.161191</v>
      </c>
      <c r="K35" s="61">
        <v>15.624420000000001</v>
      </c>
      <c r="L35" s="61">
        <v>1.1400000000000001E-4</v>
      </c>
      <c r="M35" s="61">
        <v>1.2347E-2</v>
      </c>
      <c r="N35" s="61">
        <v>2.1583000000000001E-2</v>
      </c>
      <c r="O35" s="9"/>
      <c r="P35" s="10"/>
    </row>
    <row r="36" spans="3:16">
      <c r="C36" s="86"/>
      <c r="D36" s="81"/>
      <c r="E36" s="61">
        <v>0</v>
      </c>
      <c r="F36" s="61">
        <v>120</v>
      </c>
      <c r="G36" s="61">
        <v>9</v>
      </c>
      <c r="H36" s="61" t="s">
        <v>8</v>
      </c>
      <c r="I36" s="61">
        <v>23.378630000000001</v>
      </c>
      <c r="J36" s="61">
        <v>0.18493499999999999</v>
      </c>
      <c r="K36" s="61">
        <v>15.228070000000001</v>
      </c>
      <c r="L36" s="62">
        <v>8.2999999999999998E-5</v>
      </c>
      <c r="M36" s="61">
        <v>1.0906000000000001E-2</v>
      </c>
      <c r="N36" s="61">
        <v>2.188E-2</v>
      </c>
      <c r="O36" s="9"/>
      <c r="P36" s="10"/>
    </row>
    <row r="37" spans="3:16">
      <c r="C37" s="86"/>
      <c r="D37" s="81"/>
      <c r="E37" s="61">
        <v>0</v>
      </c>
      <c r="F37" s="61">
        <v>120</v>
      </c>
      <c r="G37" s="61">
        <v>10</v>
      </c>
      <c r="H37" s="61" t="s">
        <v>9</v>
      </c>
      <c r="I37" s="61">
        <v>27.25844</v>
      </c>
      <c r="J37" s="61">
        <v>7.8697000000000003E-2</v>
      </c>
      <c r="K37" s="61">
        <v>13.417070000000001</v>
      </c>
      <c r="L37" s="61">
        <v>1.3200000000000001E-4</v>
      </c>
      <c r="M37" s="61">
        <v>1.8432E-2</v>
      </c>
      <c r="N37" s="61">
        <v>2.3635E-2</v>
      </c>
      <c r="O37" s="9"/>
      <c r="P37" s="10"/>
    </row>
    <row r="38" spans="3:16">
      <c r="C38" s="86"/>
      <c r="D38" s="81"/>
      <c r="E38" s="61">
        <v>0</v>
      </c>
      <c r="F38" s="61">
        <v>120</v>
      </c>
      <c r="G38" s="61">
        <v>11</v>
      </c>
      <c r="H38" s="61" t="s">
        <v>10</v>
      </c>
      <c r="I38" s="61">
        <v>30.462890000000002</v>
      </c>
      <c r="J38" s="61">
        <v>0.215002</v>
      </c>
      <c r="K38" s="61">
        <v>12.05477</v>
      </c>
      <c r="L38" s="61">
        <v>1.1400000000000001E-4</v>
      </c>
      <c r="M38" s="61">
        <v>1.6872999999999999E-2</v>
      </c>
      <c r="N38" s="61">
        <v>1.5682999999999999E-2</v>
      </c>
      <c r="O38" s="9"/>
      <c r="P38" s="10"/>
    </row>
    <row r="39" spans="3:16">
      <c r="C39" s="86"/>
      <c r="D39" s="81"/>
      <c r="E39" s="61">
        <v>0</v>
      </c>
      <c r="F39" s="61">
        <v>120</v>
      </c>
      <c r="G39" s="61">
        <v>12</v>
      </c>
      <c r="H39" s="61" t="s">
        <v>11</v>
      </c>
      <c r="I39" s="61">
        <v>33.81456</v>
      </c>
      <c r="J39" s="61">
        <v>0.25418299999999999</v>
      </c>
      <c r="K39" s="61">
        <v>10.927300000000001</v>
      </c>
      <c r="L39" s="61">
        <v>1.05E-4</v>
      </c>
      <c r="M39" s="61">
        <v>1.7295999999999999E-2</v>
      </c>
      <c r="N39" s="61">
        <v>1.4056000000000001E-2</v>
      </c>
      <c r="O39" s="9"/>
      <c r="P39" s="10"/>
    </row>
    <row r="40" spans="3:16">
      <c r="C40" s="86"/>
      <c r="D40" s="81"/>
      <c r="E40" s="61">
        <v>0</v>
      </c>
      <c r="F40" s="61">
        <v>120</v>
      </c>
      <c r="G40" s="61">
        <v>13</v>
      </c>
      <c r="H40" s="61" t="s">
        <v>12</v>
      </c>
      <c r="I40" s="61">
        <v>38.16272</v>
      </c>
      <c r="J40" s="61">
        <v>0.23046</v>
      </c>
      <c r="K40" s="61">
        <v>9.9926650000000006</v>
      </c>
      <c r="L40" s="61">
        <v>1.02E-4</v>
      </c>
      <c r="M40" s="61">
        <v>2.1312000000000001E-2</v>
      </c>
      <c r="N40" s="61">
        <v>1.2538000000000001E-2</v>
      </c>
      <c r="O40" s="9"/>
      <c r="P40" s="10"/>
    </row>
    <row r="41" spans="3:16">
      <c r="C41" s="86"/>
      <c r="D41" s="81"/>
      <c r="E41" s="61">
        <v>0</v>
      </c>
      <c r="F41" s="61">
        <v>120</v>
      </c>
      <c r="G41" s="61">
        <v>14</v>
      </c>
      <c r="H41" s="61" t="s">
        <v>14</v>
      </c>
      <c r="I41" s="61">
        <v>41.504460000000002</v>
      </c>
      <c r="J41" s="61">
        <v>0.24859100000000001</v>
      </c>
      <c r="K41" s="61">
        <v>9.2645009999999992</v>
      </c>
      <c r="L41" s="62">
        <v>9.5500000000000004E-5</v>
      </c>
      <c r="M41" s="61">
        <v>2.1412E-2</v>
      </c>
      <c r="N41" s="61">
        <v>1.1506000000000001E-2</v>
      </c>
      <c r="O41" s="9"/>
      <c r="P41" s="10"/>
    </row>
    <row r="42" spans="3:16">
      <c r="C42" s="86"/>
      <c r="D42" s="81"/>
      <c r="E42" s="61">
        <v>0</v>
      </c>
      <c r="F42" s="61">
        <v>120</v>
      </c>
      <c r="G42" s="61">
        <v>15</v>
      </c>
      <c r="H42" s="61" t="s">
        <v>15</v>
      </c>
      <c r="I42" s="61">
        <v>41.004939999999998</v>
      </c>
      <c r="J42" s="61">
        <v>0.245251</v>
      </c>
      <c r="K42" s="61">
        <v>9.4431700000000003</v>
      </c>
      <c r="L42" s="62">
        <v>9.6899999999999997E-5</v>
      </c>
      <c r="M42" s="61">
        <v>2.1440000000000001E-2</v>
      </c>
      <c r="N42" s="61">
        <v>1.1646E-2</v>
      </c>
      <c r="O42" s="9"/>
      <c r="P42" s="10"/>
    </row>
    <row r="43" spans="3:16">
      <c r="C43" s="86"/>
      <c r="D43" s="81"/>
      <c r="E43" s="61">
        <v>0</v>
      </c>
      <c r="F43" s="61">
        <v>120</v>
      </c>
      <c r="G43" s="61">
        <v>16</v>
      </c>
      <c r="H43" s="61" t="s">
        <v>16</v>
      </c>
      <c r="I43" s="61">
        <v>47.78389</v>
      </c>
      <c r="J43" s="61">
        <v>0.21379200000000001</v>
      </c>
      <c r="K43" s="61">
        <v>8.2977489999999996</v>
      </c>
      <c r="L43" s="62">
        <v>9.0600000000000007E-5</v>
      </c>
      <c r="M43" s="61">
        <v>2.3831999999999999E-2</v>
      </c>
      <c r="N43" s="61">
        <v>1.0063000000000001E-2</v>
      </c>
      <c r="O43" s="9"/>
      <c r="P43" s="10"/>
    </row>
    <row r="44" spans="3:16">
      <c r="C44" s="86"/>
      <c r="D44" s="81"/>
      <c r="E44" s="61">
        <v>0</v>
      </c>
      <c r="F44" s="61">
        <v>120</v>
      </c>
      <c r="G44" s="61">
        <v>17</v>
      </c>
      <c r="H44" s="61" t="s">
        <v>17</v>
      </c>
      <c r="I44" s="61">
        <v>50.35022</v>
      </c>
      <c r="J44" s="61">
        <v>0.21732499999999999</v>
      </c>
      <c r="K44" s="61">
        <v>7.9083589999999999</v>
      </c>
      <c r="L44" s="62">
        <v>8.7700000000000004E-5</v>
      </c>
      <c r="M44" s="61">
        <v>2.4160999999999998E-2</v>
      </c>
      <c r="N44" s="61">
        <v>9.554E-3</v>
      </c>
      <c r="O44" s="9"/>
      <c r="P44" s="10"/>
    </row>
    <row r="45" spans="3:16">
      <c r="C45" s="86"/>
      <c r="D45" s="81"/>
      <c r="E45" s="61">
        <v>0</v>
      </c>
      <c r="F45" s="61">
        <v>120</v>
      </c>
      <c r="G45" s="61">
        <v>18</v>
      </c>
      <c r="H45" s="61" t="s">
        <v>18</v>
      </c>
      <c r="I45" s="61">
        <v>54.333919999999999</v>
      </c>
      <c r="J45" s="61">
        <v>0.19634399999999999</v>
      </c>
      <c r="K45" s="61">
        <v>7.3639739999999998</v>
      </c>
      <c r="L45" s="62">
        <v>8.6799999999999996E-5</v>
      </c>
      <c r="M45" s="61">
        <v>2.6772000000000001E-2</v>
      </c>
      <c r="N45" s="61">
        <v>8.8990000000000007E-3</v>
      </c>
      <c r="O45" s="9"/>
      <c r="P45" s="10"/>
    </row>
    <row r="46" spans="3:16">
      <c r="C46" s="86"/>
      <c r="D46" s="81"/>
      <c r="E46" s="61">
        <v>0</v>
      </c>
      <c r="F46" s="61">
        <v>120</v>
      </c>
      <c r="G46" s="61">
        <v>19</v>
      </c>
      <c r="H46" s="61" t="s">
        <v>19</v>
      </c>
      <c r="I46" s="61">
        <v>58.712989999999998</v>
      </c>
      <c r="J46" s="61">
        <v>0.18831500000000001</v>
      </c>
      <c r="K46" s="61">
        <v>6.7815630000000002</v>
      </c>
      <c r="L46" s="62">
        <v>8.4699999999999999E-5</v>
      </c>
      <c r="M46" s="61">
        <v>2.8839E-2</v>
      </c>
      <c r="N46" s="61">
        <v>8.2529999999999999E-3</v>
      </c>
      <c r="O46" s="9"/>
      <c r="P46" s="10"/>
    </row>
    <row r="47" spans="3:16">
      <c r="C47" s="86"/>
      <c r="D47" s="81"/>
      <c r="E47" s="61">
        <v>0</v>
      </c>
      <c r="F47" s="61">
        <v>120</v>
      </c>
      <c r="G47" s="61">
        <v>20</v>
      </c>
      <c r="H47" s="61" t="s">
        <v>20</v>
      </c>
      <c r="I47" s="61">
        <v>61.289540000000002</v>
      </c>
      <c r="J47" s="61">
        <v>0.19270200000000001</v>
      </c>
      <c r="K47" s="61">
        <v>6.513579</v>
      </c>
      <c r="L47" s="62">
        <v>8.25E-5</v>
      </c>
      <c r="M47" s="61">
        <v>2.8915E-2</v>
      </c>
      <c r="N47" s="61">
        <v>7.9070000000000008E-3</v>
      </c>
      <c r="O47" s="9"/>
      <c r="P47" s="10"/>
    </row>
    <row r="48" spans="3:16">
      <c r="C48" s="86"/>
      <c r="D48" s="81"/>
      <c r="E48" s="63"/>
      <c r="F48" s="64"/>
      <c r="G48" s="64"/>
      <c r="H48" s="64"/>
      <c r="I48" s="64"/>
      <c r="J48" s="64"/>
      <c r="K48" s="64"/>
      <c r="L48" s="64"/>
      <c r="M48" s="64"/>
      <c r="N48" s="64"/>
      <c r="O48" s="9"/>
      <c r="P48" s="10"/>
    </row>
    <row r="49" spans="3:16">
      <c r="C49" s="86"/>
      <c r="D49" s="81"/>
      <c r="E49" s="22" t="s">
        <v>21</v>
      </c>
      <c r="F49" s="22" t="s">
        <v>86</v>
      </c>
      <c r="G49" s="22"/>
      <c r="H49" s="22" t="s">
        <v>13</v>
      </c>
      <c r="I49" s="22" t="s">
        <v>85</v>
      </c>
      <c r="J49" s="22" t="s">
        <v>28</v>
      </c>
      <c r="K49" s="22" t="s">
        <v>29</v>
      </c>
      <c r="L49" s="22" t="s">
        <v>30</v>
      </c>
      <c r="M49" s="22" t="s">
        <v>31</v>
      </c>
      <c r="N49" s="22" t="s">
        <v>32</v>
      </c>
      <c r="O49" s="9"/>
      <c r="P49" s="10"/>
    </row>
    <row r="50" spans="3:16">
      <c r="C50" s="86"/>
      <c r="D50" s="81"/>
      <c r="E50" s="61">
        <v>0</v>
      </c>
      <c r="F50" s="61">
        <v>300</v>
      </c>
      <c r="G50" s="61">
        <v>1</v>
      </c>
      <c r="H50" s="61" t="s">
        <v>0</v>
      </c>
      <c r="I50" s="61">
        <v>6.4308180000000004</v>
      </c>
      <c r="J50" s="61">
        <v>0.413296</v>
      </c>
      <c r="K50" s="61">
        <v>12.05829</v>
      </c>
      <c r="L50" s="62">
        <v>7.1299999999999998E-5</v>
      </c>
      <c r="M50" s="61">
        <v>5.4929999999999996E-3</v>
      </c>
      <c r="N50" s="61">
        <v>0.18673300000000001</v>
      </c>
      <c r="O50" s="9"/>
      <c r="P50" s="10"/>
    </row>
    <row r="51" spans="3:16">
      <c r="C51" s="86"/>
      <c r="D51" s="81"/>
      <c r="E51" s="61">
        <v>0</v>
      </c>
      <c r="F51" s="61">
        <v>300</v>
      </c>
      <c r="G51" s="61">
        <v>2</v>
      </c>
      <c r="H51" s="61" t="s">
        <v>1</v>
      </c>
      <c r="I51" s="61">
        <v>7.817367</v>
      </c>
      <c r="J51" s="61">
        <v>0.38991500000000001</v>
      </c>
      <c r="K51" s="61">
        <v>14.037419999999999</v>
      </c>
      <c r="L51" s="62">
        <v>6.3499999999999999E-5</v>
      </c>
      <c r="M51" s="61">
        <v>4.5989999999999998E-3</v>
      </c>
      <c r="N51" s="61">
        <v>0.159215</v>
      </c>
      <c r="O51" s="9"/>
      <c r="P51" s="10"/>
    </row>
    <row r="52" spans="3:16">
      <c r="C52" s="86"/>
      <c r="D52" s="81"/>
      <c r="E52" s="61">
        <v>0</v>
      </c>
      <c r="F52" s="61">
        <v>300</v>
      </c>
      <c r="G52" s="61">
        <v>3</v>
      </c>
      <c r="H52" s="61" t="s">
        <v>2</v>
      </c>
      <c r="I52" s="61">
        <v>9.8983819999999998</v>
      </c>
      <c r="J52" s="61">
        <v>0.42810300000000001</v>
      </c>
      <c r="K52" s="61">
        <v>14.633010000000001</v>
      </c>
      <c r="L52" s="62">
        <v>5.3300000000000001E-5</v>
      </c>
      <c r="M52" s="61">
        <v>3.4359999999999998E-3</v>
      </c>
      <c r="N52" s="61">
        <v>0.120841</v>
      </c>
      <c r="O52" s="9"/>
      <c r="P52" s="10"/>
    </row>
    <row r="53" spans="3:16">
      <c r="C53" s="86"/>
      <c r="D53" s="81"/>
      <c r="E53" s="61">
        <v>0</v>
      </c>
      <c r="F53" s="61">
        <v>300</v>
      </c>
      <c r="G53" s="61">
        <v>4</v>
      </c>
      <c r="H53" s="61" t="s">
        <v>3</v>
      </c>
      <c r="I53" s="61">
        <v>7.6924859999999997</v>
      </c>
      <c r="J53" s="61">
        <v>0.12520899999999999</v>
      </c>
      <c r="K53" s="61">
        <v>20.04833</v>
      </c>
      <c r="L53" s="62">
        <v>9.2700000000000004E-5</v>
      </c>
      <c r="M53" s="61">
        <v>4.9540000000000001E-3</v>
      </c>
      <c r="N53" s="61">
        <v>0.16705999999999999</v>
      </c>
      <c r="O53" s="9"/>
      <c r="P53" s="10"/>
    </row>
    <row r="54" spans="3:16">
      <c r="C54" s="86"/>
      <c r="D54" s="81"/>
      <c r="E54" s="61">
        <v>0</v>
      </c>
      <c r="F54" s="61">
        <v>300</v>
      </c>
      <c r="G54" s="61">
        <v>5</v>
      </c>
      <c r="H54" s="61" t="s">
        <v>4</v>
      </c>
      <c r="I54" s="61">
        <v>10.369960000000001</v>
      </c>
      <c r="J54" s="61">
        <v>0.35768499999999998</v>
      </c>
      <c r="K54" s="61">
        <v>14.85765</v>
      </c>
      <c r="L54" s="62">
        <v>7.1099999999999994E-5</v>
      </c>
      <c r="M54" s="61">
        <v>4.0829999999999998E-3</v>
      </c>
      <c r="N54" s="61">
        <v>8.4987999999999994E-2</v>
      </c>
      <c r="O54" s="9"/>
      <c r="P54" s="10"/>
    </row>
    <row r="55" spans="3:16">
      <c r="C55" s="86"/>
      <c r="D55" s="81"/>
      <c r="E55" s="61">
        <v>0</v>
      </c>
      <c r="F55" s="61">
        <v>300</v>
      </c>
      <c r="G55" s="61">
        <v>6</v>
      </c>
      <c r="H55" s="61" t="s">
        <v>5</v>
      </c>
      <c r="I55" s="61">
        <v>8.1147089999999995</v>
      </c>
      <c r="J55" s="61">
        <v>0.126441</v>
      </c>
      <c r="K55" s="61">
        <v>14.919879999999999</v>
      </c>
      <c r="L55" s="61">
        <v>1.4200000000000001E-4</v>
      </c>
      <c r="M55" s="61">
        <v>1.1941999999999999E-2</v>
      </c>
      <c r="N55" s="61">
        <v>0.11842</v>
      </c>
      <c r="O55" s="9"/>
      <c r="P55" s="10"/>
    </row>
    <row r="56" spans="3:16">
      <c r="C56" s="86"/>
      <c r="D56" s="81"/>
      <c r="E56" s="61">
        <v>0</v>
      </c>
      <c r="F56" s="61">
        <v>300</v>
      </c>
      <c r="G56" s="61">
        <v>7</v>
      </c>
      <c r="H56" s="61" t="s">
        <v>6</v>
      </c>
      <c r="I56" s="61">
        <v>12.506399999999999</v>
      </c>
      <c r="J56" s="61">
        <v>-0.14671000000000001</v>
      </c>
      <c r="K56" s="61">
        <v>15.26244</v>
      </c>
      <c r="L56" s="61">
        <v>1.9799999999999999E-4</v>
      </c>
      <c r="M56" s="61">
        <v>1.2141000000000001E-2</v>
      </c>
      <c r="N56" s="61">
        <v>7.6241000000000003E-2</v>
      </c>
      <c r="O56" s="9"/>
      <c r="P56" s="10"/>
    </row>
    <row r="57" spans="3:16">
      <c r="C57" s="86"/>
      <c r="D57" s="81"/>
      <c r="E57" s="61">
        <v>0</v>
      </c>
      <c r="F57" s="61">
        <v>300</v>
      </c>
      <c r="G57" s="61">
        <v>8</v>
      </c>
      <c r="H57" s="61" t="s">
        <v>7</v>
      </c>
      <c r="I57" s="61">
        <v>23.48931</v>
      </c>
      <c r="J57" s="61">
        <v>-0.1457</v>
      </c>
      <c r="K57" s="61">
        <v>18.700810000000001</v>
      </c>
      <c r="L57" s="61">
        <v>1.83E-4</v>
      </c>
      <c r="M57" s="61">
        <v>1.0893E-2</v>
      </c>
      <c r="N57" s="61">
        <v>2.8691000000000001E-2</v>
      </c>
      <c r="O57" s="9"/>
      <c r="P57" s="10"/>
    </row>
    <row r="58" spans="3:16">
      <c r="C58" s="86"/>
      <c r="D58" s="81"/>
      <c r="E58" s="61">
        <v>0</v>
      </c>
      <c r="F58" s="61">
        <v>300</v>
      </c>
      <c r="G58" s="61">
        <v>9</v>
      </c>
      <c r="H58" s="61" t="s">
        <v>8</v>
      </c>
      <c r="I58" s="61">
        <v>23.751059999999999</v>
      </c>
      <c r="J58" s="61">
        <v>-0.10871</v>
      </c>
      <c r="K58" s="61">
        <v>17.93336</v>
      </c>
      <c r="L58" s="61">
        <v>1.47E-4</v>
      </c>
      <c r="M58" s="61">
        <v>9.469E-3</v>
      </c>
      <c r="N58" s="61">
        <v>2.9562000000000001E-2</v>
      </c>
      <c r="O58" s="9"/>
      <c r="P58" s="10"/>
    </row>
    <row r="59" spans="3:16">
      <c r="C59" s="86"/>
      <c r="D59" s="81"/>
      <c r="E59" s="61">
        <v>0</v>
      </c>
      <c r="F59" s="61">
        <v>300</v>
      </c>
      <c r="G59" s="61">
        <v>10</v>
      </c>
      <c r="H59" s="61" t="s">
        <v>9</v>
      </c>
      <c r="I59" s="61">
        <v>27.544830000000001</v>
      </c>
      <c r="J59" s="61">
        <v>-0.31256</v>
      </c>
      <c r="K59" s="61">
        <v>16.985009999999999</v>
      </c>
      <c r="L59" s="61">
        <v>2.2699999999999999E-4</v>
      </c>
      <c r="M59" s="61">
        <v>1.7068E-2</v>
      </c>
      <c r="N59" s="61">
        <v>3.0662999999999999E-2</v>
      </c>
      <c r="O59" s="9"/>
      <c r="P59" s="10"/>
    </row>
    <row r="60" spans="3:16">
      <c r="C60" s="86"/>
      <c r="D60" s="81"/>
      <c r="E60" s="61">
        <v>0</v>
      </c>
      <c r="F60" s="61">
        <v>300</v>
      </c>
      <c r="G60" s="61">
        <v>11</v>
      </c>
      <c r="H60" s="61" t="s">
        <v>10</v>
      </c>
      <c r="I60" s="61">
        <v>30.79391</v>
      </c>
      <c r="J60" s="61">
        <v>-8.5900000000000004E-3</v>
      </c>
      <c r="K60" s="61">
        <v>14.177149999999999</v>
      </c>
      <c r="L60" s="61">
        <v>1.7799999999999999E-4</v>
      </c>
      <c r="M60" s="61">
        <v>1.5795E-2</v>
      </c>
      <c r="N60" s="61">
        <v>1.8492999999999999E-2</v>
      </c>
      <c r="O60" s="9"/>
      <c r="P60" s="10"/>
    </row>
    <row r="61" spans="3:16">
      <c r="C61" s="86"/>
      <c r="D61" s="81"/>
      <c r="E61" s="61">
        <v>0</v>
      </c>
      <c r="F61" s="61">
        <v>300</v>
      </c>
      <c r="G61" s="61">
        <v>12</v>
      </c>
      <c r="H61" s="61" t="s">
        <v>11</v>
      </c>
      <c r="I61" s="61">
        <v>34.194710000000001</v>
      </c>
      <c r="J61" s="61">
        <v>4.1147000000000003E-2</v>
      </c>
      <c r="K61" s="61">
        <v>12.98095</v>
      </c>
      <c r="L61" s="61">
        <v>1.65E-4</v>
      </c>
      <c r="M61" s="61">
        <v>1.6237000000000001E-2</v>
      </c>
      <c r="N61" s="61">
        <v>1.6427000000000001E-2</v>
      </c>
      <c r="O61" s="9"/>
      <c r="P61" s="10"/>
    </row>
    <row r="62" spans="3:16">
      <c r="C62" s="86"/>
      <c r="D62" s="81"/>
      <c r="E62" s="61">
        <v>0</v>
      </c>
      <c r="F62" s="61">
        <v>300</v>
      </c>
      <c r="G62" s="61">
        <v>13</v>
      </c>
      <c r="H62" s="61" t="s">
        <v>12</v>
      </c>
      <c r="I62" s="61">
        <v>38.643590000000003</v>
      </c>
      <c r="J62" s="61">
        <v>-4.9630000000000001E-2</v>
      </c>
      <c r="K62" s="61">
        <v>12.91794</v>
      </c>
      <c r="L62" s="61">
        <v>1.8000000000000001E-4</v>
      </c>
      <c r="M62" s="61">
        <v>2.0025999999999999E-2</v>
      </c>
      <c r="N62" s="61">
        <v>1.4664999999999999E-2</v>
      </c>
      <c r="O62" s="9"/>
      <c r="P62" s="10"/>
    </row>
    <row r="63" spans="3:16">
      <c r="C63" s="86"/>
      <c r="D63" s="81"/>
      <c r="E63" s="61">
        <v>0</v>
      </c>
      <c r="F63" s="61">
        <v>300</v>
      </c>
      <c r="G63" s="61">
        <v>14</v>
      </c>
      <c r="H63" s="61" t="s">
        <v>14</v>
      </c>
      <c r="I63" s="61">
        <v>42.06335</v>
      </c>
      <c r="J63" s="61">
        <v>-2.2360000000000001E-2</v>
      </c>
      <c r="K63" s="61">
        <v>12.104369999999999</v>
      </c>
      <c r="L63" s="61">
        <v>1.7200000000000001E-4</v>
      </c>
      <c r="M63" s="61">
        <v>2.0135E-2</v>
      </c>
      <c r="N63" s="61">
        <v>1.3391999999999999E-2</v>
      </c>
      <c r="O63" s="9"/>
      <c r="P63" s="10"/>
    </row>
    <row r="64" spans="3:16">
      <c r="C64" s="86"/>
      <c r="D64" s="81"/>
      <c r="E64" s="61">
        <v>0</v>
      </c>
      <c r="F64" s="61">
        <v>300</v>
      </c>
      <c r="G64" s="61">
        <v>15</v>
      </c>
      <c r="H64" s="61" t="s">
        <v>15</v>
      </c>
      <c r="I64" s="61">
        <v>41.53801</v>
      </c>
      <c r="J64" s="61">
        <v>-4.1020000000000001E-2</v>
      </c>
      <c r="K64" s="61">
        <v>12.45213</v>
      </c>
      <c r="L64" s="61">
        <v>1.7699999999999999E-4</v>
      </c>
      <c r="M64" s="61">
        <v>2.0122000000000001E-2</v>
      </c>
      <c r="N64" s="61">
        <v>1.3629E-2</v>
      </c>
      <c r="O64" s="9"/>
      <c r="P64" s="10"/>
    </row>
    <row r="65" spans="3:16">
      <c r="C65" s="86"/>
      <c r="D65" s="81"/>
      <c r="E65" s="61">
        <v>0</v>
      </c>
      <c r="F65" s="61">
        <v>300</v>
      </c>
      <c r="G65" s="61">
        <v>16</v>
      </c>
      <c r="H65" s="61" t="s">
        <v>16</v>
      </c>
      <c r="I65" s="61">
        <v>48.290610000000001</v>
      </c>
      <c r="J65" s="61">
        <v>-0.10604</v>
      </c>
      <c r="K65" s="61">
        <v>11.809369999999999</v>
      </c>
      <c r="L65" s="61">
        <v>1.8000000000000001E-4</v>
      </c>
      <c r="M65" s="61">
        <v>2.2492000000000002E-2</v>
      </c>
      <c r="N65" s="61">
        <v>1.18E-2</v>
      </c>
      <c r="O65" s="9"/>
      <c r="P65" s="10"/>
    </row>
    <row r="66" spans="3:16">
      <c r="C66" s="86"/>
      <c r="D66" s="81"/>
      <c r="E66" s="61">
        <v>0</v>
      </c>
      <c r="F66" s="61">
        <v>300</v>
      </c>
      <c r="G66" s="61">
        <v>17</v>
      </c>
      <c r="H66" s="61" t="s">
        <v>17</v>
      </c>
      <c r="I66" s="61">
        <v>50.829169999999998</v>
      </c>
      <c r="J66" s="61">
        <v>-9.9769999999999998E-2</v>
      </c>
      <c r="K66" s="61">
        <v>11.42352</v>
      </c>
      <c r="L66" s="61">
        <v>1.76E-4</v>
      </c>
      <c r="M66" s="61">
        <v>2.2859000000000001E-2</v>
      </c>
      <c r="N66" s="61">
        <v>1.1188999999999999E-2</v>
      </c>
      <c r="O66" s="9"/>
      <c r="P66" s="10"/>
    </row>
    <row r="67" spans="3:16">
      <c r="C67" s="86"/>
      <c r="D67" s="81"/>
      <c r="E67" s="61">
        <v>0</v>
      </c>
      <c r="F67" s="61">
        <v>300</v>
      </c>
      <c r="G67" s="61">
        <v>18</v>
      </c>
      <c r="H67" s="61" t="s">
        <v>18</v>
      </c>
      <c r="I67" s="61">
        <v>54.746789999999997</v>
      </c>
      <c r="J67" s="61">
        <v>-0.16904</v>
      </c>
      <c r="K67" s="61">
        <v>11.51535</v>
      </c>
      <c r="L67" s="61">
        <v>1.8799999999999999E-4</v>
      </c>
      <c r="M67" s="61">
        <v>2.5385999999999999E-2</v>
      </c>
      <c r="N67" s="61">
        <v>1.0482E-2</v>
      </c>
      <c r="O67" s="9"/>
      <c r="P67" s="10"/>
    </row>
    <row r="68" spans="3:16">
      <c r="C68" s="86"/>
      <c r="D68" s="81"/>
      <c r="E68" s="61">
        <v>0</v>
      </c>
      <c r="F68" s="61">
        <v>300</v>
      </c>
      <c r="G68" s="61">
        <v>19</v>
      </c>
      <c r="H68" s="61" t="s">
        <v>19</v>
      </c>
      <c r="I68" s="61">
        <v>59.061779999999999</v>
      </c>
      <c r="J68" s="61">
        <v>-0.21146000000000001</v>
      </c>
      <c r="K68" s="61">
        <v>11.361750000000001</v>
      </c>
      <c r="L68" s="61">
        <v>1.9599999999999999E-4</v>
      </c>
      <c r="M68" s="61">
        <v>2.7321999999999999E-2</v>
      </c>
      <c r="N68" s="61">
        <v>9.7649999999999994E-3</v>
      </c>
      <c r="O68" s="9"/>
      <c r="P68" s="10"/>
    </row>
    <row r="69" spans="3:16">
      <c r="C69" s="86"/>
      <c r="D69" s="81"/>
      <c r="E69" s="61">
        <v>0</v>
      </c>
      <c r="F69" s="61">
        <v>300</v>
      </c>
      <c r="G69" s="61">
        <v>20</v>
      </c>
      <c r="H69" s="61" t="s">
        <v>20</v>
      </c>
      <c r="I69" s="61">
        <v>61.608029999999999</v>
      </c>
      <c r="J69" s="61">
        <v>-0.20133999999999999</v>
      </c>
      <c r="K69" s="61">
        <v>11.04583</v>
      </c>
      <c r="L69" s="61">
        <v>1.92E-4</v>
      </c>
      <c r="M69" s="61">
        <v>2.7435000000000001E-2</v>
      </c>
      <c r="N69" s="61">
        <v>9.3469999999999994E-3</v>
      </c>
      <c r="O69" s="9"/>
      <c r="P69" s="10"/>
    </row>
    <row r="70" spans="3:16">
      <c r="C70" s="86"/>
      <c r="D70" s="81"/>
      <c r="E70" s="63"/>
      <c r="F70" s="64"/>
      <c r="G70" s="64"/>
      <c r="H70" s="64"/>
      <c r="I70" s="64"/>
      <c r="J70" s="64"/>
      <c r="K70" s="64"/>
      <c r="L70" s="64"/>
      <c r="M70" s="64"/>
      <c r="N70" s="64"/>
      <c r="O70" s="9"/>
      <c r="P70" s="10"/>
    </row>
    <row r="71" spans="3:16">
      <c r="C71" s="86"/>
      <c r="D71" s="81"/>
      <c r="E71" s="22" t="s">
        <v>21</v>
      </c>
      <c r="F71" s="22" t="s">
        <v>86</v>
      </c>
      <c r="G71" s="22"/>
      <c r="H71" s="22" t="s">
        <v>13</v>
      </c>
      <c r="I71" s="22" t="s">
        <v>85</v>
      </c>
      <c r="J71" s="22" t="s">
        <v>28</v>
      </c>
      <c r="K71" s="22" t="s">
        <v>29</v>
      </c>
      <c r="L71" s="22" t="s">
        <v>30</v>
      </c>
      <c r="M71" s="22" t="s">
        <v>31</v>
      </c>
      <c r="N71" s="22" t="s">
        <v>32</v>
      </c>
      <c r="O71" s="9"/>
      <c r="P71" s="10"/>
    </row>
    <row r="72" spans="3:16">
      <c r="C72" s="86"/>
      <c r="D72" s="81"/>
      <c r="E72" s="61">
        <v>4</v>
      </c>
      <c r="F72" s="61">
        <v>20</v>
      </c>
      <c r="G72" s="61">
        <v>1</v>
      </c>
      <c r="H72" s="61" t="s">
        <v>0</v>
      </c>
      <c r="I72" s="61">
        <v>6.4917020000000001</v>
      </c>
      <c r="J72" s="61">
        <v>0.42143599999999998</v>
      </c>
      <c r="K72" s="61">
        <v>12.379060000000001</v>
      </c>
      <c r="L72" s="62">
        <v>6.5099999999999997E-5</v>
      </c>
      <c r="M72" s="61">
        <v>5.4920000000000004E-3</v>
      </c>
      <c r="N72" s="61">
        <v>0.18657799999999999</v>
      </c>
      <c r="O72" s="9"/>
      <c r="P72" s="10"/>
    </row>
    <row r="73" spans="3:16">
      <c r="C73" s="86"/>
      <c r="D73" s="81"/>
      <c r="E73" s="61">
        <v>4</v>
      </c>
      <c r="F73" s="61">
        <v>20</v>
      </c>
      <c r="G73" s="61">
        <v>2</v>
      </c>
      <c r="H73" s="61" t="s">
        <v>1</v>
      </c>
      <c r="I73" s="61">
        <v>7.8689470000000004</v>
      </c>
      <c r="J73" s="61">
        <v>0.410501</v>
      </c>
      <c r="K73" s="61">
        <v>14.296749999999999</v>
      </c>
      <c r="L73" s="62">
        <v>5.5800000000000001E-5</v>
      </c>
      <c r="M73" s="61">
        <v>4.7060000000000001E-3</v>
      </c>
      <c r="N73" s="61">
        <v>0.15503900000000001</v>
      </c>
      <c r="O73" s="9"/>
      <c r="P73" s="10"/>
    </row>
    <row r="74" spans="3:16">
      <c r="C74" s="86"/>
      <c r="D74" s="81"/>
      <c r="E74" s="61">
        <v>4</v>
      </c>
      <c r="F74" s="61">
        <v>20</v>
      </c>
      <c r="G74" s="61">
        <v>3</v>
      </c>
      <c r="H74" s="61" t="s">
        <v>2</v>
      </c>
      <c r="I74" s="61">
        <v>9.9636080000000007</v>
      </c>
      <c r="J74" s="61">
        <v>0.45366000000000001</v>
      </c>
      <c r="K74" s="61">
        <v>14.87534</v>
      </c>
      <c r="L74" s="62">
        <v>4.5000000000000003E-5</v>
      </c>
      <c r="M74" s="61">
        <v>3.7069999999999998E-3</v>
      </c>
      <c r="N74" s="61">
        <v>0.112982</v>
      </c>
      <c r="O74" s="9"/>
      <c r="P74" s="10"/>
    </row>
    <row r="75" spans="3:16">
      <c r="C75" s="86"/>
      <c r="D75" s="81"/>
      <c r="E75" s="61">
        <v>4</v>
      </c>
      <c r="F75" s="61">
        <v>20</v>
      </c>
      <c r="G75" s="61">
        <v>4</v>
      </c>
      <c r="H75" s="61" t="s">
        <v>3</v>
      </c>
      <c r="I75" s="61">
        <v>7.8322690000000001</v>
      </c>
      <c r="J75" s="61">
        <v>0.213757</v>
      </c>
      <c r="K75" s="61">
        <v>19.695869999999999</v>
      </c>
      <c r="L75" s="62">
        <v>5.6199999999999997E-5</v>
      </c>
      <c r="M75" s="61">
        <v>3.2729999999999999E-3</v>
      </c>
      <c r="N75" s="61">
        <v>0.20973700000000001</v>
      </c>
      <c r="O75" s="9"/>
      <c r="P75" s="10"/>
    </row>
    <row r="76" spans="3:16">
      <c r="C76" s="86"/>
      <c r="D76" s="81"/>
      <c r="E76" s="61">
        <v>4</v>
      </c>
      <c r="F76" s="61">
        <v>20</v>
      </c>
      <c r="G76" s="61">
        <v>5</v>
      </c>
      <c r="H76" s="61" t="s">
        <v>4</v>
      </c>
      <c r="I76" s="61">
        <v>10.411630000000001</v>
      </c>
      <c r="J76" s="61">
        <v>0.44900299999999999</v>
      </c>
      <c r="K76" s="61">
        <v>13.97532</v>
      </c>
      <c r="L76" s="62">
        <v>4.6900000000000002E-5</v>
      </c>
      <c r="M76" s="61">
        <v>4.4510000000000001E-3</v>
      </c>
      <c r="N76" s="61">
        <v>8.1450999999999996E-2</v>
      </c>
      <c r="O76" s="9"/>
      <c r="P76" s="10"/>
    </row>
    <row r="77" spans="3:16">
      <c r="C77" s="86"/>
      <c r="D77" s="81"/>
      <c r="E77" s="61">
        <v>4</v>
      </c>
      <c r="F77" s="61">
        <v>20</v>
      </c>
      <c r="G77" s="61">
        <v>6</v>
      </c>
      <c r="H77" s="61" t="s">
        <v>5</v>
      </c>
      <c r="I77" s="61">
        <v>8.1940430000000006</v>
      </c>
      <c r="J77" s="61">
        <v>0.12436</v>
      </c>
      <c r="K77" s="61">
        <v>17.125330000000002</v>
      </c>
      <c r="L77" s="61">
        <v>1.05E-4</v>
      </c>
      <c r="M77" s="61">
        <v>8.0750000000000006E-3</v>
      </c>
      <c r="N77" s="61">
        <v>0.16903799999999999</v>
      </c>
      <c r="O77" s="9"/>
      <c r="P77" s="10"/>
    </row>
    <row r="78" spans="3:16">
      <c r="C78" s="86"/>
      <c r="D78" s="81"/>
      <c r="E78" s="61">
        <v>4</v>
      </c>
      <c r="F78" s="61">
        <v>20</v>
      </c>
      <c r="G78" s="61">
        <v>7</v>
      </c>
      <c r="H78" s="61" t="s">
        <v>6</v>
      </c>
      <c r="I78" s="61">
        <v>12.99676</v>
      </c>
      <c r="J78" s="61">
        <v>0.21809000000000001</v>
      </c>
      <c r="K78" s="61">
        <v>10.396789999999999</v>
      </c>
      <c r="L78" s="62">
        <v>6.9599999999999998E-5</v>
      </c>
      <c r="M78" s="61">
        <v>1.1354E-2</v>
      </c>
      <c r="N78" s="61">
        <v>0.115936</v>
      </c>
      <c r="O78" s="9"/>
      <c r="P78" s="10"/>
    </row>
    <row r="79" spans="3:16">
      <c r="C79" s="86"/>
      <c r="D79" s="81"/>
      <c r="E79" s="61">
        <v>4</v>
      </c>
      <c r="F79" s="61">
        <v>20</v>
      </c>
      <c r="G79" s="61">
        <v>8</v>
      </c>
      <c r="H79" s="61" t="s">
        <v>7</v>
      </c>
      <c r="I79" s="61">
        <v>28.30358</v>
      </c>
      <c r="J79" s="61">
        <v>0.154471</v>
      </c>
      <c r="K79" s="61">
        <v>11.011900000000001</v>
      </c>
      <c r="L79" s="62">
        <v>3.4199999999999998E-5</v>
      </c>
      <c r="M79" s="61">
        <v>7.9600000000000001E-3</v>
      </c>
      <c r="N79" s="61">
        <v>5.7013000000000001E-2</v>
      </c>
      <c r="O79" s="9"/>
      <c r="P79" s="10"/>
    </row>
    <row r="80" spans="3:16">
      <c r="C80" s="86"/>
      <c r="D80" s="81"/>
      <c r="E80" s="61">
        <v>4</v>
      </c>
      <c r="F80" s="61">
        <v>20</v>
      </c>
      <c r="G80" s="61">
        <v>9</v>
      </c>
      <c r="H80" s="61" t="s">
        <v>8</v>
      </c>
      <c r="I80" s="61">
        <v>32.60248</v>
      </c>
      <c r="J80" s="61">
        <v>0.22856499999999999</v>
      </c>
      <c r="K80" s="61">
        <v>7.5488960000000001</v>
      </c>
      <c r="L80" s="62">
        <v>7.5399999999999998E-6</v>
      </c>
      <c r="M80" s="61">
        <v>5.1749999999999999E-3</v>
      </c>
      <c r="N80" s="61">
        <v>5.0175999999999998E-2</v>
      </c>
      <c r="O80" s="9"/>
      <c r="P80" s="10"/>
    </row>
    <row r="81" spans="3:16">
      <c r="C81" s="86"/>
      <c r="D81" s="81"/>
      <c r="E81" s="61">
        <v>4</v>
      </c>
      <c r="F81" s="61">
        <v>20</v>
      </c>
      <c r="G81" s="61">
        <v>10</v>
      </c>
      <c r="H81" s="61" t="s">
        <v>9</v>
      </c>
      <c r="I81" s="61">
        <v>33.399360000000001</v>
      </c>
      <c r="J81" s="61">
        <v>-2.7E-2</v>
      </c>
      <c r="K81" s="61">
        <v>11.85291</v>
      </c>
      <c r="L81" s="62">
        <v>6.2000000000000003E-5</v>
      </c>
      <c r="M81" s="61">
        <v>1.1762E-2</v>
      </c>
      <c r="N81" s="61">
        <v>5.1206000000000002E-2</v>
      </c>
      <c r="O81" s="9"/>
      <c r="P81" s="10"/>
    </row>
    <row r="82" spans="3:16">
      <c r="C82" s="86"/>
      <c r="D82" s="81"/>
      <c r="E82" s="61">
        <v>4</v>
      </c>
      <c r="F82" s="61">
        <v>20</v>
      </c>
      <c r="G82" s="61">
        <v>11</v>
      </c>
      <c r="H82" s="61" t="s">
        <v>10</v>
      </c>
      <c r="I82" s="61">
        <v>37.52704</v>
      </c>
      <c r="J82" s="61">
        <v>4.5768999999999997E-2</v>
      </c>
      <c r="K82" s="61">
        <v>9.9322119999999998</v>
      </c>
      <c r="L82" s="62">
        <v>5.1199999999999998E-5</v>
      </c>
      <c r="M82" s="61">
        <v>1.116E-2</v>
      </c>
      <c r="N82" s="61">
        <v>4.3394000000000002E-2</v>
      </c>
      <c r="O82" s="9"/>
      <c r="P82" s="10"/>
    </row>
    <row r="83" spans="3:16">
      <c r="C83" s="86"/>
      <c r="D83" s="81"/>
      <c r="E83" s="61">
        <v>4</v>
      </c>
      <c r="F83" s="61">
        <v>20</v>
      </c>
      <c r="G83" s="61">
        <v>12</v>
      </c>
      <c r="H83" s="61" t="s">
        <v>11</v>
      </c>
      <c r="I83" s="61">
        <v>41.891550000000002</v>
      </c>
      <c r="J83" s="61">
        <v>8.7510000000000004E-2</v>
      </c>
      <c r="K83" s="61">
        <v>8.372325</v>
      </c>
      <c r="L83" s="62">
        <v>4.2700000000000001E-5</v>
      </c>
      <c r="M83" s="61">
        <v>1.0966999999999999E-2</v>
      </c>
      <c r="N83" s="61">
        <v>3.8762999999999999E-2</v>
      </c>
      <c r="O83" s="9"/>
      <c r="P83" s="10"/>
    </row>
    <row r="84" spans="3:16">
      <c r="C84" s="86"/>
      <c r="D84" s="81"/>
      <c r="E84" s="61">
        <v>4</v>
      </c>
      <c r="F84" s="61">
        <v>20</v>
      </c>
      <c r="G84" s="61">
        <v>13</v>
      </c>
      <c r="H84" s="61" t="s">
        <v>12</v>
      </c>
      <c r="I84" s="61">
        <v>49.68329</v>
      </c>
      <c r="J84" s="61">
        <v>8.9869000000000004E-2</v>
      </c>
      <c r="K84" s="61">
        <v>6.958297</v>
      </c>
      <c r="L84" s="62">
        <v>3.3800000000000002E-5</v>
      </c>
      <c r="M84" s="61">
        <v>1.1206000000000001E-2</v>
      </c>
      <c r="N84" s="61">
        <v>3.2989999999999998E-2</v>
      </c>
      <c r="O84" s="9"/>
      <c r="P84" s="10"/>
    </row>
    <row r="85" spans="3:16">
      <c r="C85" s="86"/>
      <c r="D85" s="81"/>
      <c r="E85" s="61">
        <v>4</v>
      </c>
      <c r="F85" s="61">
        <v>20</v>
      </c>
      <c r="G85" s="61">
        <v>14</v>
      </c>
      <c r="H85" s="61" t="s">
        <v>14</v>
      </c>
      <c r="I85" s="61">
        <v>55.503929999999997</v>
      </c>
      <c r="J85" s="61">
        <v>0.123463</v>
      </c>
      <c r="K85" s="61">
        <v>5.6555720000000003</v>
      </c>
      <c r="L85" s="62">
        <v>2.5299999999999998E-5</v>
      </c>
      <c r="M85" s="61">
        <v>1.0671999999999999E-2</v>
      </c>
      <c r="N85" s="61">
        <v>2.9440999999999998E-2</v>
      </c>
      <c r="O85" s="9"/>
      <c r="P85" s="10"/>
    </row>
    <row r="86" spans="3:16">
      <c r="C86" s="86"/>
      <c r="D86" s="81"/>
      <c r="E86" s="61">
        <v>4</v>
      </c>
      <c r="F86" s="61">
        <v>20</v>
      </c>
      <c r="G86" s="61">
        <v>15</v>
      </c>
      <c r="H86" s="61" t="s">
        <v>15</v>
      </c>
      <c r="I86" s="61">
        <v>53.770650000000003</v>
      </c>
      <c r="J86" s="61">
        <v>0.107184</v>
      </c>
      <c r="K86" s="61">
        <v>6.1343779999999999</v>
      </c>
      <c r="L86" s="62">
        <v>2.9899999999999998E-5</v>
      </c>
      <c r="M86" s="61">
        <v>1.1087E-2</v>
      </c>
      <c r="N86" s="61">
        <v>3.0439000000000001E-2</v>
      </c>
      <c r="O86" s="9"/>
      <c r="P86" s="10"/>
    </row>
    <row r="87" spans="3:16">
      <c r="C87" s="86"/>
      <c r="D87" s="81"/>
      <c r="E87" s="61">
        <v>4</v>
      </c>
      <c r="F87" s="61">
        <v>20</v>
      </c>
      <c r="G87" s="61">
        <v>16</v>
      </c>
      <c r="H87" s="61" t="s">
        <v>16</v>
      </c>
      <c r="I87" s="61">
        <v>70.87782</v>
      </c>
      <c r="J87" s="61">
        <v>9.0232000000000007E-2</v>
      </c>
      <c r="K87" s="61">
        <v>4.637931</v>
      </c>
      <c r="L87" s="62">
        <v>1.9899999999999999E-5</v>
      </c>
      <c r="M87" s="61">
        <v>1.0248999999999999E-2</v>
      </c>
      <c r="N87" s="61">
        <v>2.3258999999999998E-2</v>
      </c>
      <c r="O87" s="9"/>
      <c r="P87" s="10"/>
    </row>
    <row r="88" spans="3:16">
      <c r="C88" s="86"/>
      <c r="D88" s="81"/>
      <c r="E88" s="61">
        <v>4</v>
      </c>
      <c r="F88" s="61">
        <v>20</v>
      </c>
      <c r="G88" s="61">
        <v>17</v>
      </c>
      <c r="H88" s="61" t="s">
        <v>17</v>
      </c>
      <c r="I88" s="61">
        <v>76.100999999999999</v>
      </c>
      <c r="J88" s="61">
        <v>8.6012000000000005E-2</v>
      </c>
      <c r="K88" s="61">
        <v>4.3633949999999997</v>
      </c>
      <c r="L88" s="62">
        <v>1.9000000000000001E-5</v>
      </c>
      <c r="M88" s="61">
        <v>1.0076E-2</v>
      </c>
      <c r="N88" s="61">
        <v>2.1701999999999999E-2</v>
      </c>
      <c r="O88" s="9"/>
      <c r="P88" s="10"/>
    </row>
    <row r="89" spans="3:16">
      <c r="C89" s="86"/>
      <c r="D89" s="81"/>
      <c r="E89" s="61">
        <v>4</v>
      </c>
      <c r="F89" s="61">
        <v>20</v>
      </c>
      <c r="G89" s="61">
        <v>18</v>
      </c>
      <c r="H89" s="61" t="s">
        <v>18</v>
      </c>
      <c r="I89" s="61">
        <v>84.654769999999999</v>
      </c>
      <c r="J89" s="61">
        <v>1.2201999999999999E-2</v>
      </c>
      <c r="K89" s="61">
        <v>4.8704020000000003</v>
      </c>
      <c r="L89" s="62">
        <v>2.8500000000000002E-5</v>
      </c>
      <c r="M89" s="61">
        <v>1.0692E-2</v>
      </c>
      <c r="N89" s="61">
        <v>1.9903000000000001E-2</v>
      </c>
      <c r="O89" s="9"/>
      <c r="P89" s="10"/>
    </row>
    <row r="90" spans="3:16">
      <c r="C90" s="86"/>
      <c r="D90" s="81"/>
      <c r="E90" s="61">
        <v>4</v>
      </c>
      <c r="F90" s="61">
        <v>20</v>
      </c>
      <c r="G90" s="61">
        <v>19</v>
      </c>
      <c r="H90" s="61" t="s">
        <v>19</v>
      </c>
      <c r="I90" s="61">
        <v>93.687560000000005</v>
      </c>
      <c r="J90" s="61">
        <v>-4.5220000000000003E-2</v>
      </c>
      <c r="K90" s="61">
        <v>5.1283390000000004</v>
      </c>
      <c r="L90" s="62">
        <v>3.82E-5</v>
      </c>
      <c r="M90" s="61">
        <v>1.1146E-2</v>
      </c>
      <c r="N90" s="61">
        <v>1.8280999999999999E-2</v>
      </c>
      <c r="O90" s="9"/>
      <c r="P90" s="10"/>
    </row>
    <row r="91" spans="3:16">
      <c r="C91" s="86"/>
      <c r="D91" s="81"/>
      <c r="E91" s="61">
        <v>4</v>
      </c>
      <c r="F91" s="61">
        <v>20</v>
      </c>
      <c r="G91" s="61">
        <v>20</v>
      </c>
      <c r="H91" s="61" t="s">
        <v>20</v>
      </c>
      <c r="I91" s="61">
        <v>99.146339999999995</v>
      </c>
      <c r="J91" s="61">
        <v>-4.8219999999999999E-2</v>
      </c>
      <c r="K91" s="61">
        <v>4.9385149999999998</v>
      </c>
      <c r="L91" s="62">
        <v>3.8600000000000003E-5</v>
      </c>
      <c r="M91" s="61">
        <v>1.0978999999999999E-2</v>
      </c>
      <c r="N91" s="61">
        <v>1.7311E-2</v>
      </c>
      <c r="O91" s="9"/>
      <c r="P91" s="10"/>
    </row>
    <row r="92" spans="3:16">
      <c r="C92" s="86"/>
      <c r="D92" s="81"/>
      <c r="E92" s="63"/>
      <c r="F92" s="64"/>
      <c r="G92" s="64"/>
      <c r="H92" s="64"/>
      <c r="I92" s="64"/>
      <c r="J92" s="64"/>
      <c r="K92" s="64"/>
      <c r="L92" s="64"/>
      <c r="M92" s="64"/>
      <c r="N92" s="64"/>
      <c r="O92" s="9"/>
      <c r="P92" s="10"/>
    </row>
    <row r="93" spans="3:16">
      <c r="C93" s="86"/>
      <c r="D93" s="81"/>
      <c r="E93" s="22" t="s">
        <v>21</v>
      </c>
      <c r="F93" s="22" t="s">
        <v>86</v>
      </c>
      <c r="G93" s="22"/>
      <c r="H93" s="22" t="s">
        <v>13</v>
      </c>
      <c r="I93" s="22" t="s">
        <v>85</v>
      </c>
      <c r="J93" s="22" t="s">
        <v>28</v>
      </c>
      <c r="K93" s="22" t="s">
        <v>29</v>
      </c>
      <c r="L93" s="22" t="s">
        <v>30</v>
      </c>
      <c r="M93" s="22" t="s">
        <v>31</v>
      </c>
      <c r="N93" s="22" t="s">
        <v>32</v>
      </c>
      <c r="O93" s="9"/>
      <c r="P93" s="10"/>
    </row>
    <row r="94" spans="3:16">
      <c r="C94" s="86"/>
      <c r="D94" s="81"/>
      <c r="E94" s="61">
        <v>4</v>
      </c>
      <c r="F94" s="61">
        <v>120</v>
      </c>
      <c r="G94" s="61">
        <v>1</v>
      </c>
      <c r="H94" s="61" t="s">
        <v>0</v>
      </c>
      <c r="I94" s="61">
        <v>6.493322</v>
      </c>
      <c r="J94" s="61">
        <v>0.42057600000000001</v>
      </c>
      <c r="K94" s="61">
        <v>12.22087</v>
      </c>
      <c r="L94" s="62">
        <v>6.5099999999999997E-5</v>
      </c>
      <c r="M94" s="61">
        <v>5.274E-3</v>
      </c>
      <c r="N94" s="61">
        <v>0.193604</v>
      </c>
      <c r="O94" s="9"/>
      <c r="P94" s="10"/>
    </row>
    <row r="95" spans="3:16">
      <c r="C95" s="86"/>
      <c r="D95" s="81"/>
      <c r="E95" s="61">
        <v>4</v>
      </c>
      <c r="F95" s="61">
        <v>120</v>
      </c>
      <c r="G95" s="61">
        <v>2</v>
      </c>
      <c r="H95" s="61" t="s">
        <v>1</v>
      </c>
      <c r="I95" s="61">
        <v>7.8724920000000003</v>
      </c>
      <c r="J95" s="61">
        <v>0.40734900000000002</v>
      </c>
      <c r="K95" s="61">
        <v>14.154260000000001</v>
      </c>
      <c r="L95" s="62">
        <v>5.6100000000000002E-5</v>
      </c>
      <c r="M95" s="61">
        <v>4.4549999999999998E-3</v>
      </c>
      <c r="N95" s="61">
        <v>0.162052</v>
      </c>
      <c r="O95" s="9"/>
      <c r="P95" s="10"/>
    </row>
    <row r="96" spans="3:16">
      <c r="C96" s="86"/>
      <c r="D96" s="81"/>
      <c r="E96" s="61">
        <v>4</v>
      </c>
      <c r="F96" s="61">
        <v>120</v>
      </c>
      <c r="G96" s="61">
        <v>3</v>
      </c>
      <c r="H96" s="61" t="s">
        <v>2</v>
      </c>
      <c r="I96" s="61">
        <v>9.9694710000000004</v>
      </c>
      <c r="J96" s="61">
        <v>0.44872499999999998</v>
      </c>
      <c r="K96" s="61">
        <v>14.74419</v>
      </c>
      <c r="L96" s="62">
        <v>4.5500000000000001E-5</v>
      </c>
      <c r="M96" s="61">
        <v>3.4120000000000001E-3</v>
      </c>
      <c r="N96" s="61">
        <v>0.11987200000000001</v>
      </c>
      <c r="O96" s="9"/>
      <c r="P96" s="10"/>
    </row>
    <row r="97" spans="3:16">
      <c r="C97" s="86"/>
      <c r="D97" s="81"/>
      <c r="E97" s="61">
        <v>4</v>
      </c>
      <c r="F97" s="61">
        <v>120</v>
      </c>
      <c r="G97" s="61">
        <v>4</v>
      </c>
      <c r="H97" s="61" t="s">
        <v>3</v>
      </c>
      <c r="I97" s="61">
        <v>7.8387349999999998</v>
      </c>
      <c r="J97" s="61">
        <v>0.21312700000000001</v>
      </c>
      <c r="K97" s="61">
        <v>19.44389</v>
      </c>
      <c r="L97" s="62">
        <v>5.63E-5</v>
      </c>
      <c r="M97" s="61">
        <v>2.9589999999999998E-3</v>
      </c>
      <c r="N97" s="61">
        <v>0.215253</v>
      </c>
      <c r="O97" s="9"/>
      <c r="P97" s="10"/>
    </row>
    <row r="98" spans="3:16">
      <c r="C98" s="86"/>
      <c r="D98" s="81"/>
      <c r="E98" s="61">
        <v>4</v>
      </c>
      <c r="F98" s="61">
        <v>120</v>
      </c>
      <c r="G98" s="61">
        <v>5</v>
      </c>
      <c r="H98" s="61" t="s">
        <v>4</v>
      </c>
      <c r="I98" s="61">
        <v>10.42136</v>
      </c>
      <c r="J98" s="61">
        <v>0.43702200000000002</v>
      </c>
      <c r="K98" s="61">
        <v>14.033950000000001</v>
      </c>
      <c r="L98" s="62">
        <v>4.9299999999999999E-5</v>
      </c>
      <c r="M98" s="61">
        <v>4.1669999999999997E-3</v>
      </c>
      <c r="N98" s="61">
        <v>8.4735000000000005E-2</v>
      </c>
      <c r="O98" s="9"/>
      <c r="P98" s="10"/>
    </row>
    <row r="99" spans="3:16">
      <c r="C99" s="86"/>
      <c r="D99" s="81"/>
      <c r="E99" s="61">
        <v>4</v>
      </c>
      <c r="F99" s="61">
        <v>120</v>
      </c>
      <c r="G99" s="61">
        <v>6</v>
      </c>
      <c r="H99" s="61" t="s">
        <v>5</v>
      </c>
      <c r="I99" s="61">
        <v>8.1950249999999993</v>
      </c>
      <c r="J99" s="61">
        <v>0.16858000000000001</v>
      </c>
      <c r="K99" s="61">
        <v>16.15015</v>
      </c>
      <c r="L99" s="62">
        <v>9.7100000000000002E-5</v>
      </c>
      <c r="M99" s="61">
        <v>8.1169999999999992E-3</v>
      </c>
      <c r="N99" s="61">
        <v>0.168629</v>
      </c>
      <c r="O99" s="9"/>
      <c r="P99" s="10"/>
    </row>
    <row r="100" spans="3:16">
      <c r="C100" s="86"/>
      <c r="D100" s="81"/>
      <c r="E100" s="61">
        <v>4</v>
      </c>
      <c r="F100" s="61">
        <v>120</v>
      </c>
      <c r="G100" s="61">
        <v>7</v>
      </c>
      <c r="H100" s="61" t="s">
        <v>6</v>
      </c>
      <c r="I100" s="61">
        <v>12.99869</v>
      </c>
      <c r="J100" s="61">
        <v>0.24648600000000001</v>
      </c>
      <c r="K100" s="61">
        <v>9.6333409999999997</v>
      </c>
      <c r="L100" s="62">
        <v>6.7500000000000001E-5</v>
      </c>
      <c r="M100" s="61">
        <v>1.0245000000000001E-2</v>
      </c>
      <c r="N100" s="61">
        <v>0.116933</v>
      </c>
      <c r="O100" s="9"/>
      <c r="P100" s="10"/>
    </row>
    <row r="101" spans="3:16">
      <c r="C101" s="86"/>
      <c r="D101" s="81"/>
      <c r="E101" s="61">
        <v>4</v>
      </c>
      <c r="F101" s="61">
        <v>120</v>
      </c>
      <c r="G101" s="61">
        <v>8</v>
      </c>
      <c r="H101" s="61" t="s">
        <v>7</v>
      </c>
      <c r="I101" s="61">
        <v>28.336690000000001</v>
      </c>
      <c r="J101" s="61">
        <v>0.16391500000000001</v>
      </c>
      <c r="K101" s="61">
        <v>10.800280000000001</v>
      </c>
      <c r="L101" s="62">
        <v>3.3699999999999999E-5</v>
      </c>
      <c r="M101" s="61">
        <v>7.6270000000000001E-3</v>
      </c>
      <c r="N101" s="61">
        <v>5.6952000000000003E-2</v>
      </c>
      <c r="O101" s="9"/>
      <c r="P101" s="10"/>
    </row>
    <row r="102" spans="3:16">
      <c r="C102" s="86"/>
      <c r="D102" s="81"/>
      <c r="E102" s="61">
        <v>4</v>
      </c>
      <c r="F102" s="61">
        <v>120</v>
      </c>
      <c r="G102" s="61">
        <v>9</v>
      </c>
      <c r="H102" s="61" t="s">
        <v>8</v>
      </c>
      <c r="I102" s="61">
        <v>32.652920000000002</v>
      </c>
      <c r="J102" s="61">
        <v>0.21981100000000001</v>
      </c>
      <c r="K102" s="61">
        <v>7.7032910000000001</v>
      </c>
      <c r="L102" s="62">
        <v>1.01E-5</v>
      </c>
      <c r="M102" s="61">
        <v>5.0889999999999998E-3</v>
      </c>
      <c r="N102" s="61">
        <v>5.0120999999999999E-2</v>
      </c>
      <c r="O102" s="9"/>
      <c r="P102" s="10"/>
    </row>
    <row r="103" spans="3:16">
      <c r="C103" s="86"/>
      <c r="D103" s="81"/>
      <c r="E103" s="61">
        <v>4</v>
      </c>
      <c r="F103" s="61">
        <v>120</v>
      </c>
      <c r="G103" s="61">
        <v>10</v>
      </c>
      <c r="H103" s="61" t="s">
        <v>9</v>
      </c>
      <c r="I103" s="61">
        <v>33.409590000000001</v>
      </c>
      <c r="J103" s="61">
        <v>5.6460000000000003E-2</v>
      </c>
      <c r="K103" s="61">
        <v>10.2964</v>
      </c>
      <c r="L103" s="62">
        <v>4.6499999999999999E-5</v>
      </c>
      <c r="M103" s="61">
        <v>1.0702E-2</v>
      </c>
      <c r="N103" s="61">
        <v>5.0965999999999997E-2</v>
      </c>
      <c r="O103" s="9"/>
      <c r="P103" s="10"/>
    </row>
    <row r="104" spans="3:16">
      <c r="C104" s="86"/>
      <c r="D104" s="81"/>
      <c r="E104" s="61">
        <v>4</v>
      </c>
      <c r="F104" s="61">
        <v>120</v>
      </c>
      <c r="G104" s="61">
        <v>11</v>
      </c>
      <c r="H104" s="61" t="s">
        <v>10</v>
      </c>
      <c r="I104" s="61">
        <v>37.535589999999999</v>
      </c>
      <c r="J104" s="61">
        <v>0.11534999999999999</v>
      </c>
      <c r="K104" s="61">
        <v>8.6060990000000004</v>
      </c>
      <c r="L104" s="62">
        <v>4.0599999999999998E-5</v>
      </c>
      <c r="M104" s="61">
        <v>9.8200000000000006E-3</v>
      </c>
      <c r="N104" s="61">
        <v>4.3284999999999997E-2</v>
      </c>
      <c r="O104" s="9"/>
      <c r="P104" s="10"/>
    </row>
    <row r="105" spans="3:16">
      <c r="C105" s="86"/>
      <c r="D105" s="81"/>
      <c r="E105" s="61">
        <v>4</v>
      </c>
      <c r="F105" s="61">
        <v>120</v>
      </c>
      <c r="G105" s="61">
        <v>12</v>
      </c>
      <c r="H105" s="61" t="s">
        <v>11</v>
      </c>
      <c r="I105" s="61">
        <v>41.901110000000003</v>
      </c>
      <c r="J105" s="61">
        <v>0.14610000000000001</v>
      </c>
      <c r="K105" s="61">
        <v>7.2406249999999996</v>
      </c>
      <c r="L105" s="62">
        <v>3.43E-5</v>
      </c>
      <c r="M105" s="61">
        <v>9.6780000000000008E-3</v>
      </c>
      <c r="N105" s="61">
        <v>3.8709E-2</v>
      </c>
      <c r="O105" s="9"/>
      <c r="P105" s="10"/>
    </row>
    <row r="106" spans="3:16">
      <c r="C106" s="86"/>
      <c r="D106" s="81"/>
      <c r="E106" s="61">
        <v>4</v>
      </c>
      <c r="F106" s="61">
        <v>120</v>
      </c>
      <c r="G106" s="61">
        <v>13</v>
      </c>
      <c r="H106" s="61" t="s">
        <v>12</v>
      </c>
      <c r="I106" s="61">
        <v>49.694749999999999</v>
      </c>
      <c r="J106" s="61">
        <v>0.102705</v>
      </c>
      <c r="K106" s="61">
        <v>6.6656370000000003</v>
      </c>
      <c r="L106" s="62">
        <v>3.3500000000000001E-5</v>
      </c>
      <c r="M106" s="61">
        <v>1.0666999999999999E-2</v>
      </c>
      <c r="N106" s="61">
        <v>3.3008999999999997E-2</v>
      </c>
      <c r="O106" s="9"/>
      <c r="P106" s="10"/>
    </row>
    <row r="107" spans="3:16">
      <c r="C107" s="86"/>
      <c r="D107" s="81"/>
      <c r="E107" s="61">
        <v>4</v>
      </c>
      <c r="F107" s="61">
        <v>120</v>
      </c>
      <c r="G107" s="61">
        <v>14</v>
      </c>
      <c r="H107" s="61" t="s">
        <v>14</v>
      </c>
      <c r="I107" s="61">
        <v>55.516919999999999</v>
      </c>
      <c r="J107" s="61">
        <v>0.115608</v>
      </c>
      <c r="K107" s="61">
        <v>5.7262219999999999</v>
      </c>
      <c r="L107" s="62">
        <v>2.9099999999999999E-5</v>
      </c>
      <c r="M107" s="61">
        <v>1.0274E-2</v>
      </c>
      <c r="N107" s="61">
        <v>2.9512E-2</v>
      </c>
      <c r="O107" s="9"/>
      <c r="P107" s="10"/>
    </row>
    <row r="108" spans="3:16">
      <c r="C108" s="86"/>
      <c r="D108" s="81"/>
      <c r="E108" s="61">
        <v>4</v>
      </c>
      <c r="F108" s="61">
        <v>120</v>
      </c>
      <c r="G108" s="61">
        <v>15</v>
      </c>
      <c r="H108" s="61" t="s">
        <v>15</v>
      </c>
      <c r="I108" s="61">
        <v>53.783230000000003</v>
      </c>
      <c r="J108" s="61">
        <v>0.110606</v>
      </c>
      <c r="K108" s="61">
        <v>6.0109579999999996</v>
      </c>
      <c r="L108" s="62">
        <v>3.1600000000000002E-5</v>
      </c>
      <c r="M108" s="61">
        <v>1.0577E-2</v>
      </c>
      <c r="N108" s="61">
        <v>3.0478999999999999E-2</v>
      </c>
      <c r="O108" s="9"/>
      <c r="P108" s="10"/>
    </row>
    <row r="109" spans="3:16">
      <c r="C109" s="86"/>
      <c r="D109" s="81"/>
      <c r="E109" s="61">
        <v>4</v>
      </c>
      <c r="F109" s="61">
        <v>120</v>
      </c>
      <c r="G109" s="61">
        <v>16</v>
      </c>
      <c r="H109" s="61" t="s">
        <v>16</v>
      </c>
      <c r="I109" s="61">
        <v>71.560019999999994</v>
      </c>
      <c r="J109" s="61">
        <v>6.7405999999999994E-2</v>
      </c>
      <c r="K109" s="61">
        <v>4.8929330000000002</v>
      </c>
      <c r="L109" s="62">
        <v>2.6599999999999999E-5</v>
      </c>
      <c r="M109" s="61">
        <v>9.9260000000000008E-3</v>
      </c>
      <c r="N109" s="61">
        <v>2.3130000000000001E-2</v>
      </c>
      <c r="O109" s="9"/>
      <c r="P109" s="10"/>
    </row>
    <row r="110" spans="3:16">
      <c r="C110" s="86"/>
      <c r="D110" s="81"/>
      <c r="E110" s="61">
        <v>4</v>
      </c>
      <c r="F110" s="61">
        <v>120</v>
      </c>
      <c r="G110" s="61">
        <v>17</v>
      </c>
      <c r="H110" s="61" t="s">
        <v>17</v>
      </c>
      <c r="I110" s="61">
        <v>76.788570000000007</v>
      </c>
      <c r="J110" s="61">
        <v>6.4713999999999994E-2</v>
      </c>
      <c r="K110" s="61">
        <v>4.5978890000000003</v>
      </c>
      <c r="L110" s="62">
        <v>2.5400000000000001E-5</v>
      </c>
      <c r="M110" s="61">
        <v>9.7820000000000008E-3</v>
      </c>
      <c r="N110" s="61">
        <v>2.1592E-2</v>
      </c>
      <c r="O110" s="9"/>
      <c r="P110" s="10"/>
    </row>
    <row r="111" spans="3:16">
      <c r="C111" s="86"/>
      <c r="D111" s="81"/>
      <c r="E111" s="61">
        <v>4</v>
      </c>
      <c r="F111" s="61">
        <v>120</v>
      </c>
      <c r="G111" s="61">
        <v>18</v>
      </c>
      <c r="H111" s="61" t="s">
        <v>18</v>
      </c>
      <c r="I111" s="61">
        <v>85.298550000000006</v>
      </c>
      <c r="J111" s="61">
        <v>-8.9700000000000005E-3</v>
      </c>
      <c r="K111" s="61">
        <v>5.1048910000000003</v>
      </c>
      <c r="L111" s="62">
        <v>3.6000000000000001E-5</v>
      </c>
      <c r="M111" s="61">
        <v>1.042E-2</v>
      </c>
      <c r="N111" s="61">
        <v>1.9823E-2</v>
      </c>
      <c r="O111" s="9"/>
      <c r="P111" s="10"/>
    </row>
    <row r="112" spans="3:16">
      <c r="C112" s="86"/>
      <c r="D112" s="81"/>
      <c r="E112" s="61">
        <v>4</v>
      </c>
      <c r="F112" s="61">
        <v>120</v>
      </c>
      <c r="G112" s="61">
        <v>19</v>
      </c>
      <c r="H112" s="61" t="s">
        <v>19</v>
      </c>
      <c r="I112" s="61">
        <v>94.303439999999995</v>
      </c>
      <c r="J112" s="61">
        <v>-6.6309999999999994E-2</v>
      </c>
      <c r="K112" s="61">
        <v>5.3645569999999996</v>
      </c>
      <c r="L112" s="62">
        <v>4.6600000000000001E-5</v>
      </c>
      <c r="M112" s="61">
        <v>1.0892000000000001E-2</v>
      </c>
      <c r="N112" s="61">
        <v>1.8218000000000002E-2</v>
      </c>
      <c r="O112" s="9"/>
      <c r="P112" s="10"/>
    </row>
    <row r="113" spans="3:16">
      <c r="C113" s="86"/>
      <c r="D113" s="81"/>
      <c r="E113" s="61">
        <v>4</v>
      </c>
      <c r="F113" s="61">
        <v>120</v>
      </c>
      <c r="G113" s="61">
        <v>20</v>
      </c>
      <c r="H113" s="61" t="s">
        <v>20</v>
      </c>
      <c r="I113" s="61">
        <v>99.749740000000003</v>
      </c>
      <c r="J113" s="61">
        <v>-6.8690000000000001E-2</v>
      </c>
      <c r="K113" s="61">
        <v>5.167497</v>
      </c>
      <c r="L113" s="62">
        <v>4.6799999999999999E-5</v>
      </c>
      <c r="M113" s="61">
        <v>1.0744999999999999E-2</v>
      </c>
      <c r="N113" s="61">
        <v>1.7259E-2</v>
      </c>
      <c r="O113" s="9"/>
      <c r="P113" s="10"/>
    </row>
    <row r="114" spans="3:16">
      <c r="C114" s="86"/>
      <c r="D114" s="81"/>
      <c r="E114" s="63"/>
      <c r="F114" s="64"/>
      <c r="G114" s="64"/>
      <c r="H114" s="64"/>
      <c r="I114" s="64"/>
      <c r="J114" s="64"/>
      <c r="K114" s="64"/>
      <c r="L114" s="64"/>
      <c r="M114" s="64"/>
      <c r="N114" s="64"/>
      <c r="O114" s="9"/>
      <c r="P114" s="10"/>
    </row>
    <row r="115" spans="3:16">
      <c r="C115" s="86"/>
      <c r="D115" s="81"/>
      <c r="E115" s="22" t="s">
        <v>21</v>
      </c>
      <c r="F115" s="22" t="s">
        <v>86</v>
      </c>
      <c r="G115" s="22"/>
      <c r="H115" s="22" t="s">
        <v>13</v>
      </c>
      <c r="I115" s="22" t="s">
        <v>85</v>
      </c>
      <c r="J115" s="22" t="s">
        <v>28</v>
      </c>
      <c r="K115" s="22" t="s">
        <v>29</v>
      </c>
      <c r="L115" s="22" t="s">
        <v>30</v>
      </c>
      <c r="M115" s="22" t="s">
        <v>31</v>
      </c>
      <c r="N115" s="22" t="s">
        <v>32</v>
      </c>
      <c r="O115" s="9"/>
      <c r="P115" s="10"/>
    </row>
    <row r="116" spans="3:16">
      <c r="C116" s="86"/>
      <c r="D116" s="81"/>
      <c r="E116" s="61">
        <v>4</v>
      </c>
      <c r="F116" s="61">
        <v>300</v>
      </c>
      <c r="G116" s="61">
        <v>1</v>
      </c>
      <c r="H116" s="61" t="s">
        <v>0</v>
      </c>
      <c r="I116" s="61">
        <v>6.5088699999999999</v>
      </c>
      <c r="J116" s="61">
        <v>0.39560600000000001</v>
      </c>
      <c r="K116" s="61">
        <v>11.993029999999999</v>
      </c>
      <c r="L116" s="62">
        <v>6.8999999999999997E-5</v>
      </c>
      <c r="M116" s="61">
        <v>4.8960000000000002E-3</v>
      </c>
      <c r="N116" s="61">
        <v>0.22141</v>
      </c>
      <c r="O116" s="9"/>
      <c r="P116" s="10"/>
    </row>
    <row r="117" spans="3:16">
      <c r="C117" s="86"/>
      <c r="D117" s="81"/>
      <c r="E117" s="61">
        <v>4</v>
      </c>
      <c r="F117" s="61">
        <v>300</v>
      </c>
      <c r="G117" s="61">
        <v>2</v>
      </c>
      <c r="H117" s="61" t="s">
        <v>1</v>
      </c>
      <c r="I117" s="61">
        <v>7.9116879999999998</v>
      </c>
      <c r="J117" s="61">
        <v>0.37675399999999998</v>
      </c>
      <c r="K117" s="61">
        <v>13.86783</v>
      </c>
      <c r="L117" s="62">
        <v>6.0399999999999998E-5</v>
      </c>
      <c r="M117" s="61">
        <v>4.0179999999999999E-3</v>
      </c>
      <c r="N117" s="61">
        <v>0.18901899999999999</v>
      </c>
      <c r="O117" s="9"/>
      <c r="P117" s="10"/>
    </row>
    <row r="118" spans="3:16">
      <c r="C118" s="86"/>
      <c r="D118" s="81"/>
      <c r="E118" s="61">
        <v>4</v>
      </c>
      <c r="F118" s="61">
        <v>300</v>
      </c>
      <c r="G118" s="61">
        <v>3</v>
      </c>
      <c r="H118" s="61" t="s">
        <v>2</v>
      </c>
      <c r="I118" s="61">
        <v>10.03082</v>
      </c>
      <c r="J118" s="61">
        <v>0.41709200000000002</v>
      </c>
      <c r="K118" s="61">
        <v>14.4</v>
      </c>
      <c r="L118" s="62">
        <v>4.99E-5</v>
      </c>
      <c r="M118" s="61">
        <v>2.941E-3</v>
      </c>
      <c r="N118" s="61">
        <v>0.14438999999999999</v>
      </c>
      <c r="O118" s="9"/>
      <c r="P118" s="10"/>
    </row>
    <row r="119" spans="3:16">
      <c r="C119" s="86"/>
      <c r="D119" s="81"/>
      <c r="E119" s="61">
        <v>4</v>
      </c>
      <c r="F119" s="61">
        <v>300</v>
      </c>
      <c r="G119" s="61">
        <v>4</v>
      </c>
      <c r="H119" s="61" t="s">
        <v>3</v>
      </c>
      <c r="I119" s="61">
        <v>7.9087569999999996</v>
      </c>
      <c r="J119" s="61">
        <v>0.15345200000000001</v>
      </c>
      <c r="K119" s="61">
        <v>19.185770000000002</v>
      </c>
      <c r="L119" s="62">
        <v>6.5900000000000003E-5</v>
      </c>
      <c r="M119" s="61">
        <v>2.2590000000000002E-3</v>
      </c>
      <c r="N119" s="61">
        <v>0.24329500000000001</v>
      </c>
      <c r="O119" s="9"/>
      <c r="P119" s="10"/>
    </row>
    <row r="120" spans="3:16">
      <c r="C120" s="86"/>
      <c r="D120" s="81"/>
      <c r="E120" s="61">
        <v>4</v>
      </c>
      <c r="F120" s="61">
        <v>300</v>
      </c>
      <c r="G120" s="61">
        <v>5</v>
      </c>
      <c r="H120" s="61" t="s">
        <v>4</v>
      </c>
      <c r="I120" s="61">
        <v>10.526770000000001</v>
      </c>
      <c r="J120" s="61">
        <v>0.36965100000000001</v>
      </c>
      <c r="K120" s="61">
        <v>14.3127</v>
      </c>
      <c r="L120" s="62">
        <v>6.3100000000000002E-5</v>
      </c>
      <c r="M120" s="61">
        <v>3.5300000000000002E-3</v>
      </c>
      <c r="N120" s="61">
        <v>9.9865999999999996E-2</v>
      </c>
      <c r="O120" s="9"/>
      <c r="P120" s="10"/>
    </row>
    <row r="121" spans="3:16">
      <c r="C121" s="86"/>
      <c r="D121" s="81"/>
      <c r="E121" s="61">
        <v>4</v>
      </c>
      <c r="F121" s="61">
        <v>300</v>
      </c>
      <c r="G121" s="61">
        <v>6</v>
      </c>
      <c r="H121" s="61" t="s">
        <v>5</v>
      </c>
      <c r="I121" s="61">
        <v>8.2216470000000008</v>
      </c>
      <c r="J121" s="61">
        <v>0.188198</v>
      </c>
      <c r="K121" s="61">
        <v>15.127829999999999</v>
      </c>
      <c r="L121" s="62">
        <v>9.6799999999999995E-5</v>
      </c>
      <c r="M121" s="61">
        <v>7.5880000000000001E-3</v>
      </c>
      <c r="N121" s="61">
        <v>0.174732</v>
      </c>
      <c r="O121" s="9"/>
      <c r="P121" s="10"/>
    </row>
    <row r="122" spans="3:16">
      <c r="C122" s="86"/>
      <c r="D122" s="81"/>
      <c r="E122" s="61">
        <v>4</v>
      </c>
      <c r="F122" s="61">
        <v>300</v>
      </c>
      <c r="G122" s="61">
        <v>7</v>
      </c>
      <c r="H122" s="61" t="s">
        <v>6</v>
      </c>
      <c r="I122" s="61">
        <v>13.06227</v>
      </c>
      <c r="J122" s="61">
        <v>0.232187</v>
      </c>
      <c r="K122" s="61">
        <v>8.8988399999999999</v>
      </c>
      <c r="L122" s="62">
        <v>8.0199999999999998E-5</v>
      </c>
      <c r="M122" s="61">
        <v>8.3199999999999993E-3</v>
      </c>
      <c r="N122" s="61">
        <v>0.121418</v>
      </c>
      <c r="O122" s="9"/>
      <c r="P122" s="10"/>
    </row>
    <row r="123" spans="3:16">
      <c r="C123" s="86"/>
      <c r="D123" s="81"/>
      <c r="E123" s="61">
        <v>4</v>
      </c>
      <c r="F123" s="61">
        <v>300</v>
      </c>
      <c r="G123" s="61">
        <v>8</v>
      </c>
      <c r="H123" s="61" t="s">
        <v>7</v>
      </c>
      <c r="I123" s="61">
        <v>28.70234</v>
      </c>
      <c r="J123" s="61">
        <v>0.18506400000000001</v>
      </c>
      <c r="K123" s="61">
        <v>10.011060000000001</v>
      </c>
      <c r="L123" s="62">
        <v>3.6900000000000002E-5</v>
      </c>
      <c r="M123" s="61">
        <v>6.607E-3</v>
      </c>
      <c r="N123" s="61">
        <v>5.6522999999999997E-2</v>
      </c>
      <c r="O123" s="9"/>
      <c r="P123" s="10"/>
    </row>
    <row r="124" spans="3:16">
      <c r="C124" s="86"/>
      <c r="D124" s="81"/>
      <c r="E124" s="61">
        <v>4</v>
      </c>
      <c r="F124" s="61">
        <v>300</v>
      </c>
      <c r="G124" s="61">
        <v>9</v>
      </c>
      <c r="H124" s="61" t="s">
        <v>8</v>
      </c>
      <c r="I124" s="61">
        <v>33.20975</v>
      </c>
      <c r="J124" s="61">
        <v>0.175593</v>
      </c>
      <c r="K124" s="61">
        <v>8.0612449999999995</v>
      </c>
      <c r="L124" s="62">
        <v>2.4600000000000002E-5</v>
      </c>
      <c r="M124" s="61">
        <v>4.6410000000000002E-3</v>
      </c>
      <c r="N124" s="61">
        <v>5.0075000000000001E-2</v>
      </c>
      <c r="O124" s="9"/>
      <c r="P124" s="10"/>
    </row>
    <row r="125" spans="3:16">
      <c r="C125" s="86"/>
      <c r="D125" s="81"/>
      <c r="E125" s="61">
        <v>4</v>
      </c>
      <c r="F125" s="61">
        <v>300</v>
      </c>
      <c r="G125" s="61">
        <v>10</v>
      </c>
      <c r="H125" s="61" t="s">
        <v>9</v>
      </c>
      <c r="I125" s="61">
        <v>33.573169999999998</v>
      </c>
      <c r="J125" s="61">
        <v>9.0654999999999999E-2</v>
      </c>
      <c r="K125" s="61">
        <v>9.5114940000000008</v>
      </c>
      <c r="L125" s="62">
        <v>4.7200000000000002E-5</v>
      </c>
      <c r="M125" s="61">
        <v>9.5879999999999993E-3</v>
      </c>
      <c r="N125" s="61">
        <v>5.0722999999999997E-2</v>
      </c>
      <c r="O125" s="9"/>
      <c r="P125" s="10"/>
    </row>
    <row r="126" spans="3:16">
      <c r="C126" s="86"/>
      <c r="D126" s="81"/>
      <c r="E126" s="61">
        <v>4</v>
      </c>
      <c r="F126" s="61">
        <v>300</v>
      </c>
      <c r="G126" s="61">
        <v>11</v>
      </c>
      <c r="H126" s="61" t="s">
        <v>10</v>
      </c>
      <c r="I126" s="61">
        <v>37.723030000000001</v>
      </c>
      <c r="J126" s="61">
        <v>0.15817200000000001</v>
      </c>
      <c r="K126" s="61">
        <v>7.6405539999999998</v>
      </c>
      <c r="L126" s="62">
        <v>4.0299999999999997E-5</v>
      </c>
      <c r="M126" s="61">
        <v>8.5159999999999993E-3</v>
      </c>
      <c r="N126" s="61">
        <v>4.3088000000000001E-2</v>
      </c>
      <c r="O126" s="9"/>
      <c r="P126" s="10"/>
    </row>
    <row r="127" spans="3:16">
      <c r="C127" s="86"/>
      <c r="D127" s="81"/>
      <c r="E127" s="61">
        <v>4</v>
      </c>
      <c r="F127" s="61">
        <v>300</v>
      </c>
      <c r="G127" s="61">
        <v>12</v>
      </c>
      <c r="H127" s="61" t="s">
        <v>11</v>
      </c>
      <c r="I127" s="61">
        <v>42.113880000000002</v>
      </c>
      <c r="J127" s="61">
        <v>0.17249999999999999</v>
      </c>
      <c r="K127" s="61">
        <v>6.5618319999999999</v>
      </c>
      <c r="L127" s="62">
        <v>3.7400000000000001E-5</v>
      </c>
      <c r="M127" s="61">
        <v>8.4749999999999999E-3</v>
      </c>
      <c r="N127" s="61">
        <v>3.8595999999999998E-2</v>
      </c>
      <c r="O127" s="9"/>
      <c r="P127" s="10"/>
    </row>
    <row r="128" spans="3:16">
      <c r="C128" s="86"/>
      <c r="D128" s="81"/>
      <c r="E128" s="61">
        <v>4</v>
      </c>
      <c r="F128" s="61">
        <v>300</v>
      </c>
      <c r="G128" s="61">
        <v>13</v>
      </c>
      <c r="H128" s="61" t="s">
        <v>12</v>
      </c>
      <c r="I128" s="61">
        <v>49.959400000000002</v>
      </c>
      <c r="J128" s="61">
        <v>8.1452999999999998E-2</v>
      </c>
      <c r="K128" s="61">
        <v>6.9175950000000004</v>
      </c>
      <c r="L128" s="62">
        <v>4.6900000000000002E-5</v>
      </c>
      <c r="M128" s="61">
        <v>9.9260000000000008E-3</v>
      </c>
      <c r="N128" s="61">
        <v>3.2908E-2</v>
      </c>
      <c r="O128" s="9"/>
      <c r="P128" s="10"/>
    </row>
    <row r="129" spans="3:16">
      <c r="C129" s="86"/>
      <c r="D129" s="81"/>
      <c r="E129" s="61">
        <v>4</v>
      </c>
      <c r="F129" s="61">
        <v>300</v>
      </c>
      <c r="G129" s="61">
        <v>14</v>
      </c>
      <c r="H129" s="61" t="s">
        <v>14</v>
      </c>
      <c r="I129" s="61">
        <v>55.821779999999997</v>
      </c>
      <c r="J129" s="61">
        <v>9.1411000000000006E-2</v>
      </c>
      <c r="K129" s="61">
        <v>6.0443259999999999</v>
      </c>
      <c r="L129" s="62">
        <v>4.2899999999999999E-5</v>
      </c>
      <c r="M129" s="61">
        <v>9.6030000000000004E-3</v>
      </c>
      <c r="N129" s="61">
        <v>2.9416000000000001E-2</v>
      </c>
      <c r="O129" s="9"/>
      <c r="P129" s="10"/>
    </row>
    <row r="130" spans="3:16">
      <c r="C130" s="86"/>
      <c r="D130" s="81"/>
      <c r="E130" s="61">
        <v>4</v>
      </c>
      <c r="F130" s="61">
        <v>300</v>
      </c>
      <c r="G130" s="61">
        <v>15</v>
      </c>
      <c r="H130" s="61" t="s">
        <v>15</v>
      </c>
      <c r="I130" s="61">
        <v>54.075150000000001</v>
      </c>
      <c r="J130" s="61">
        <v>9.4773999999999997E-2</v>
      </c>
      <c r="K130" s="61">
        <v>6.1792509999999998</v>
      </c>
      <c r="L130" s="62">
        <v>4.3800000000000001E-5</v>
      </c>
      <c r="M130" s="61">
        <v>9.8200000000000006E-3</v>
      </c>
      <c r="N130" s="61">
        <v>3.0360999999999999E-2</v>
      </c>
      <c r="O130" s="9"/>
      <c r="P130" s="10"/>
    </row>
    <row r="131" spans="3:16">
      <c r="C131" s="86"/>
      <c r="D131" s="81"/>
      <c r="E131" s="61">
        <v>4</v>
      </c>
      <c r="F131" s="61">
        <v>300</v>
      </c>
      <c r="G131" s="61">
        <v>16</v>
      </c>
      <c r="H131" s="61" t="s">
        <v>16</v>
      </c>
      <c r="I131" s="61">
        <v>71.976960000000005</v>
      </c>
      <c r="J131" s="61">
        <v>2.1989999999999999E-2</v>
      </c>
      <c r="K131" s="61">
        <v>5.5490029999999999</v>
      </c>
      <c r="L131" s="62">
        <v>4.49E-5</v>
      </c>
      <c r="M131" s="61">
        <v>9.5289999999999993E-3</v>
      </c>
      <c r="N131" s="61">
        <v>2.3099999999999999E-2</v>
      </c>
      <c r="O131" s="9"/>
      <c r="P131" s="10"/>
    </row>
    <row r="132" spans="3:16">
      <c r="C132" s="86"/>
      <c r="D132" s="81"/>
      <c r="E132" s="61">
        <v>4</v>
      </c>
      <c r="F132" s="61">
        <v>300</v>
      </c>
      <c r="G132" s="61">
        <v>17</v>
      </c>
      <c r="H132" s="61" t="s">
        <v>17</v>
      </c>
      <c r="I132" s="61">
        <v>77.608050000000006</v>
      </c>
      <c r="J132" s="61">
        <v>2.0778000000000001E-2</v>
      </c>
      <c r="K132" s="61">
        <v>5.1990920000000003</v>
      </c>
      <c r="L132" s="62">
        <v>4.2899999999999999E-5</v>
      </c>
      <c r="M132" s="61">
        <v>9.3799999999999994E-3</v>
      </c>
      <c r="N132" s="61">
        <v>2.1461999999999998E-2</v>
      </c>
      <c r="O132" s="9"/>
      <c r="P132" s="10"/>
    </row>
    <row r="133" spans="3:16">
      <c r="C133" s="86"/>
      <c r="D133" s="81"/>
      <c r="E133" s="61">
        <v>4</v>
      </c>
      <c r="F133" s="61">
        <v>300</v>
      </c>
      <c r="G133" s="61">
        <v>18</v>
      </c>
      <c r="H133" s="61" t="s">
        <v>18</v>
      </c>
      <c r="I133" s="61">
        <v>86.705349999999996</v>
      </c>
      <c r="J133" s="61">
        <v>-5.0369999999999998E-2</v>
      </c>
      <c r="K133" s="61">
        <v>5.6075090000000003</v>
      </c>
      <c r="L133" s="62">
        <v>5.3600000000000002E-5</v>
      </c>
      <c r="M133" s="61">
        <v>9.9740000000000002E-3</v>
      </c>
      <c r="N133" s="61">
        <v>1.959E-2</v>
      </c>
      <c r="O133" s="9"/>
      <c r="P133" s="10"/>
    </row>
    <row r="134" spans="3:16">
      <c r="C134" s="86"/>
      <c r="D134" s="81"/>
      <c r="E134" s="61">
        <v>4</v>
      </c>
      <c r="F134" s="61">
        <v>300</v>
      </c>
      <c r="G134" s="61">
        <v>19</v>
      </c>
      <c r="H134" s="61" t="s">
        <v>19</v>
      </c>
      <c r="I134" s="61">
        <v>95.552130000000005</v>
      </c>
      <c r="J134" s="61">
        <v>-0.10394</v>
      </c>
      <c r="K134" s="61">
        <v>5.814082</v>
      </c>
      <c r="L134" s="62">
        <v>6.4300000000000004E-5</v>
      </c>
      <c r="M134" s="61">
        <v>1.0482999999999999E-2</v>
      </c>
      <c r="N134" s="61">
        <v>1.8051000000000001E-2</v>
      </c>
      <c r="O134" s="9"/>
      <c r="P134" s="10"/>
    </row>
    <row r="135" spans="3:16">
      <c r="C135" s="86"/>
      <c r="D135" s="81"/>
      <c r="E135" s="61">
        <v>4</v>
      </c>
      <c r="F135" s="61">
        <v>300</v>
      </c>
      <c r="G135" s="61">
        <v>20</v>
      </c>
      <c r="H135" s="61" t="s">
        <v>20</v>
      </c>
      <c r="I135" s="61">
        <v>100.94159999999999</v>
      </c>
      <c r="J135" s="61">
        <v>-0.10482</v>
      </c>
      <c r="K135" s="61">
        <v>5.5992050000000004</v>
      </c>
      <c r="L135" s="62">
        <v>6.41E-5</v>
      </c>
      <c r="M135" s="61">
        <v>1.0368E-2</v>
      </c>
      <c r="N135" s="61">
        <v>1.7121999999999998E-2</v>
      </c>
      <c r="O135" s="9"/>
      <c r="P135" s="10"/>
    </row>
    <row r="136" spans="3:16">
      <c r="C136" s="86"/>
      <c r="D136" s="81"/>
      <c r="E136" s="63"/>
      <c r="F136" s="64"/>
      <c r="G136" s="64"/>
      <c r="H136" s="64"/>
      <c r="I136" s="64"/>
      <c r="J136" s="64"/>
      <c r="K136" s="64"/>
      <c r="L136" s="64"/>
      <c r="M136" s="64"/>
      <c r="N136" s="64"/>
      <c r="O136" s="9"/>
      <c r="P136" s="10"/>
    </row>
    <row r="137" spans="3:16">
      <c r="C137" s="86"/>
      <c r="D137" s="81"/>
      <c r="E137" s="22" t="s">
        <v>21</v>
      </c>
      <c r="F137" s="22" t="s">
        <v>86</v>
      </c>
      <c r="G137" s="22"/>
      <c r="H137" s="22" t="s">
        <v>13</v>
      </c>
      <c r="I137" s="22" t="s">
        <v>85</v>
      </c>
      <c r="J137" s="22" t="s">
        <v>28</v>
      </c>
      <c r="K137" s="22" t="s">
        <v>29</v>
      </c>
      <c r="L137" s="22" t="s">
        <v>30</v>
      </c>
      <c r="M137" s="22" t="s">
        <v>31</v>
      </c>
      <c r="N137" s="22" t="s">
        <v>32</v>
      </c>
      <c r="O137" s="9"/>
      <c r="P137" s="10"/>
    </row>
    <row r="138" spans="3:16">
      <c r="C138" s="86"/>
      <c r="D138" s="81"/>
      <c r="E138" s="61">
        <v>6</v>
      </c>
      <c r="F138" s="61">
        <v>20</v>
      </c>
      <c r="G138" s="61">
        <v>1</v>
      </c>
      <c r="H138" s="61" t="s">
        <v>0</v>
      </c>
      <c r="I138" s="61">
        <v>6.6606589999999999</v>
      </c>
      <c r="J138" s="61">
        <v>0.38344099999999998</v>
      </c>
      <c r="K138" s="61">
        <v>12.054349999999999</v>
      </c>
      <c r="L138" s="62">
        <v>6.02E-5</v>
      </c>
      <c r="M138" s="61">
        <v>4.7479999999999996E-3</v>
      </c>
      <c r="N138" s="61">
        <v>0.259216</v>
      </c>
      <c r="O138" s="9"/>
      <c r="P138" s="10"/>
    </row>
    <row r="139" spans="3:16">
      <c r="C139" s="86"/>
      <c r="D139" s="81"/>
      <c r="E139" s="61">
        <v>6</v>
      </c>
      <c r="F139" s="61">
        <v>20</v>
      </c>
      <c r="G139" s="61">
        <v>2</v>
      </c>
      <c r="H139" s="61" t="s">
        <v>1</v>
      </c>
      <c r="I139" s="61">
        <v>8.0881640000000008</v>
      </c>
      <c r="J139" s="61">
        <v>0.36294700000000002</v>
      </c>
      <c r="K139" s="61">
        <v>14.053129999999999</v>
      </c>
      <c r="L139" s="62">
        <v>5.0899999999999997E-5</v>
      </c>
      <c r="M139" s="61">
        <v>3.7759999999999998E-3</v>
      </c>
      <c r="N139" s="61">
        <v>0.22379199999999999</v>
      </c>
      <c r="O139" s="9"/>
      <c r="P139" s="10"/>
    </row>
    <row r="140" spans="3:16">
      <c r="C140" s="86"/>
      <c r="D140" s="81"/>
      <c r="E140" s="61">
        <v>6</v>
      </c>
      <c r="F140" s="61">
        <v>20</v>
      </c>
      <c r="G140" s="61">
        <v>3</v>
      </c>
      <c r="H140" s="61" t="s">
        <v>2</v>
      </c>
      <c r="I140" s="61">
        <v>10.214930000000001</v>
      </c>
      <c r="J140" s="61">
        <v>0.43319299999999999</v>
      </c>
      <c r="K140" s="61">
        <v>14.14124</v>
      </c>
      <c r="L140" s="62">
        <v>4.1300000000000001E-5</v>
      </c>
      <c r="M140" s="61">
        <v>3.3579999999999999E-3</v>
      </c>
      <c r="N140" s="61">
        <v>0.151311</v>
      </c>
      <c r="O140" s="9"/>
      <c r="P140" s="10"/>
    </row>
    <row r="141" spans="3:16">
      <c r="C141" s="86"/>
      <c r="D141" s="81"/>
      <c r="E141" s="61">
        <v>6</v>
      </c>
      <c r="F141" s="61">
        <v>20</v>
      </c>
      <c r="G141" s="61">
        <v>4</v>
      </c>
      <c r="H141" s="61" t="s">
        <v>3</v>
      </c>
      <c r="I141" s="61">
        <v>8.628304</v>
      </c>
      <c r="J141" s="61">
        <v>0.25469199999999997</v>
      </c>
      <c r="K141" s="61">
        <v>14.789870000000001</v>
      </c>
      <c r="L141" s="62">
        <v>2.37E-5</v>
      </c>
      <c r="M141" s="61">
        <v>3.761E-3</v>
      </c>
      <c r="N141" s="61">
        <v>0.32846199999999998</v>
      </c>
      <c r="O141" s="9"/>
      <c r="P141" s="10"/>
    </row>
    <row r="142" spans="3:16">
      <c r="C142" s="86"/>
      <c r="D142" s="81"/>
      <c r="E142" s="61">
        <v>6</v>
      </c>
      <c r="F142" s="61">
        <v>20</v>
      </c>
      <c r="G142" s="61">
        <v>5</v>
      </c>
      <c r="H142" s="61" t="s">
        <v>4</v>
      </c>
      <c r="I142" s="61">
        <v>10.677860000000001</v>
      </c>
      <c r="J142" s="61">
        <v>0.35419899999999999</v>
      </c>
      <c r="K142" s="61">
        <v>14.351039999999999</v>
      </c>
      <c r="L142" s="62">
        <v>3.7599999999999999E-5</v>
      </c>
      <c r="M142" s="61">
        <v>2.676E-3</v>
      </c>
      <c r="N142" s="61">
        <v>0.15298200000000001</v>
      </c>
      <c r="O142" s="9"/>
      <c r="P142" s="10"/>
    </row>
    <row r="143" spans="3:16">
      <c r="C143" s="86"/>
      <c r="D143" s="81"/>
      <c r="E143" s="61">
        <v>6</v>
      </c>
      <c r="F143" s="61">
        <v>20</v>
      </c>
      <c r="G143" s="61">
        <v>6</v>
      </c>
      <c r="H143" s="61" t="s">
        <v>5</v>
      </c>
      <c r="I143" s="61">
        <v>8.8683979999999991</v>
      </c>
      <c r="J143" s="61">
        <v>0.100342</v>
      </c>
      <c r="K143" s="61">
        <v>14.27262</v>
      </c>
      <c r="L143" s="62">
        <v>6.7899999999999997E-5</v>
      </c>
      <c r="M143" s="61">
        <v>8.5290000000000001E-3</v>
      </c>
      <c r="N143" s="61">
        <v>0.266148</v>
      </c>
      <c r="O143" s="9"/>
      <c r="P143" s="10"/>
    </row>
    <row r="144" spans="3:16">
      <c r="C144" s="86"/>
      <c r="D144" s="81"/>
      <c r="E144" s="61">
        <v>6</v>
      </c>
      <c r="F144" s="61">
        <v>20</v>
      </c>
      <c r="G144" s="61">
        <v>7</v>
      </c>
      <c r="H144" s="61" t="s">
        <v>6</v>
      </c>
      <c r="I144" s="61">
        <v>14.415190000000001</v>
      </c>
      <c r="J144" s="61">
        <v>8.5916999999999993E-2</v>
      </c>
      <c r="K144" s="61">
        <v>9.2783730000000002</v>
      </c>
      <c r="L144" s="62">
        <v>5.9299999999999998E-5</v>
      </c>
      <c r="M144" s="61">
        <v>1.0135E-2</v>
      </c>
      <c r="N144" s="61">
        <v>0.16780700000000001</v>
      </c>
      <c r="O144" s="9"/>
      <c r="P144" s="10"/>
    </row>
    <row r="145" spans="3:16">
      <c r="C145" s="86"/>
      <c r="D145" s="81"/>
      <c r="E145" s="61">
        <v>6</v>
      </c>
      <c r="F145" s="61">
        <v>20</v>
      </c>
      <c r="G145" s="61">
        <v>8</v>
      </c>
      <c r="H145" s="61" t="s">
        <v>7</v>
      </c>
      <c r="I145" s="61">
        <v>34.54665</v>
      </c>
      <c r="J145" s="61">
        <v>0.15415300000000001</v>
      </c>
      <c r="K145" s="61">
        <v>8.3038310000000006</v>
      </c>
      <c r="L145" s="62">
        <v>1.6699999999999999E-5</v>
      </c>
      <c r="M145" s="61">
        <v>6.3990000000000002E-3</v>
      </c>
      <c r="N145" s="61">
        <v>6.8150000000000002E-2</v>
      </c>
      <c r="O145" s="9"/>
      <c r="P145" s="10"/>
    </row>
    <row r="146" spans="3:16">
      <c r="C146" s="86"/>
      <c r="D146" s="81"/>
      <c r="E146" s="61">
        <v>6</v>
      </c>
      <c r="F146" s="61">
        <v>20</v>
      </c>
      <c r="G146" s="61">
        <v>9</v>
      </c>
      <c r="H146" s="61" t="s">
        <v>8</v>
      </c>
      <c r="I146" s="61">
        <v>40.435830000000003</v>
      </c>
      <c r="J146" s="61">
        <v>0.222189</v>
      </c>
      <c r="K146" s="61">
        <v>5.4310809999999998</v>
      </c>
      <c r="L146" s="62">
        <v>-4.0999999999999997E-6</v>
      </c>
      <c r="M146" s="61">
        <v>4.267E-3</v>
      </c>
      <c r="N146" s="61">
        <v>5.8178000000000001E-2</v>
      </c>
      <c r="O146" s="9"/>
      <c r="P146" s="10"/>
    </row>
    <row r="147" spans="3:16">
      <c r="C147" s="86"/>
      <c r="D147" s="81"/>
      <c r="E147" s="61">
        <v>6</v>
      </c>
      <c r="F147" s="61">
        <v>20</v>
      </c>
      <c r="G147" s="61">
        <v>10</v>
      </c>
      <c r="H147" s="61" t="s">
        <v>9</v>
      </c>
      <c r="I147" s="61">
        <v>39.858960000000003</v>
      </c>
      <c r="J147" s="61">
        <v>6.3162999999999997E-2</v>
      </c>
      <c r="K147" s="61">
        <v>8.4794499999999999</v>
      </c>
      <c r="L147" s="62">
        <v>2.72E-5</v>
      </c>
      <c r="M147" s="61">
        <v>9.0220000000000005E-3</v>
      </c>
      <c r="N147" s="61">
        <v>6.0657999999999997E-2</v>
      </c>
      <c r="O147" s="9"/>
      <c r="P147" s="10"/>
    </row>
    <row r="148" spans="3:16">
      <c r="C148" s="86"/>
      <c r="D148" s="81"/>
      <c r="E148" s="61">
        <v>6</v>
      </c>
      <c r="F148" s="61">
        <v>20</v>
      </c>
      <c r="G148" s="61">
        <v>11</v>
      </c>
      <c r="H148" s="61" t="s">
        <v>10</v>
      </c>
      <c r="I148" s="61">
        <v>46.52422</v>
      </c>
      <c r="J148" s="61">
        <v>9.2265E-2</v>
      </c>
      <c r="K148" s="61">
        <v>7.0035470000000002</v>
      </c>
      <c r="L148" s="62">
        <v>2.51E-5</v>
      </c>
      <c r="M148" s="61">
        <v>8.1720000000000004E-3</v>
      </c>
      <c r="N148" s="61">
        <v>5.0401000000000001E-2</v>
      </c>
      <c r="O148" s="9"/>
      <c r="P148" s="10"/>
    </row>
    <row r="149" spans="3:16">
      <c r="C149" s="86"/>
      <c r="D149" s="81"/>
      <c r="E149" s="61">
        <v>6</v>
      </c>
      <c r="F149" s="61">
        <v>20</v>
      </c>
      <c r="G149" s="61">
        <v>12</v>
      </c>
      <c r="H149" s="61" t="s">
        <v>11</v>
      </c>
      <c r="I149" s="61">
        <v>52.45046</v>
      </c>
      <c r="J149" s="61">
        <v>0.110276</v>
      </c>
      <c r="K149" s="61">
        <v>5.9507669999999999</v>
      </c>
      <c r="L149" s="62">
        <v>2.1699999999999999E-5</v>
      </c>
      <c r="M149" s="61">
        <v>8.0450000000000001E-3</v>
      </c>
      <c r="N149" s="61">
        <v>4.4609999999999997E-2</v>
      </c>
      <c r="O149" s="9"/>
      <c r="P149" s="10"/>
    </row>
    <row r="150" spans="3:16">
      <c r="C150" s="86"/>
      <c r="D150" s="81"/>
      <c r="E150" s="61">
        <v>6</v>
      </c>
      <c r="F150" s="61">
        <v>20</v>
      </c>
      <c r="G150" s="61">
        <v>13</v>
      </c>
      <c r="H150" s="61" t="s">
        <v>12</v>
      </c>
      <c r="I150" s="61">
        <v>62.310960000000001</v>
      </c>
      <c r="J150" s="61">
        <v>2.4451000000000001E-2</v>
      </c>
      <c r="K150" s="61">
        <v>6.1705310000000004</v>
      </c>
      <c r="L150" s="62">
        <v>2.97E-5</v>
      </c>
      <c r="M150" s="61">
        <v>8.9029999999999995E-3</v>
      </c>
      <c r="N150" s="61">
        <v>3.8381999999999999E-2</v>
      </c>
      <c r="O150" s="9"/>
      <c r="P150" s="10"/>
    </row>
    <row r="151" spans="3:16">
      <c r="C151" s="86"/>
      <c r="D151" s="81"/>
      <c r="E151" s="61">
        <v>6</v>
      </c>
      <c r="F151" s="61">
        <v>20</v>
      </c>
      <c r="G151" s="61">
        <v>14</v>
      </c>
      <c r="H151" s="61" t="s">
        <v>14</v>
      </c>
      <c r="I151" s="61">
        <v>70.108789999999999</v>
      </c>
      <c r="J151" s="61">
        <v>3.1785000000000001E-2</v>
      </c>
      <c r="K151" s="61">
        <v>5.4302109999999999</v>
      </c>
      <c r="L151" s="62">
        <v>2.6800000000000001E-5</v>
      </c>
      <c r="M151" s="61">
        <v>8.5520000000000006E-3</v>
      </c>
      <c r="N151" s="61">
        <v>3.4092999999999998E-2</v>
      </c>
      <c r="O151" s="9"/>
      <c r="P151" s="10"/>
    </row>
    <row r="152" spans="3:16">
      <c r="C152" s="86"/>
      <c r="D152" s="81"/>
      <c r="E152" s="61">
        <v>6</v>
      </c>
      <c r="F152" s="61">
        <v>20</v>
      </c>
      <c r="G152" s="61">
        <v>15</v>
      </c>
      <c r="H152" s="61" t="s">
        <v>15</v>
      </c>
      <c r="I152" s="61">
        <v>68.10427</v>
      </c>
      <c r="J152" s="61">
        <v>3.0249999999999999E-2</v>
      </c>
      <c r="K152" s="61">
        <v>5.6119950000000003</v>
      </c>
      <c r="L152" s="62">
        <v>2.7800000000000001E-5</v>
      </c>
      <c r="M152" s="61">
        <v>8.7779999999999993E-3</v>
      </c>
      <c r="N152" s="61">
        <v>3.5071999999999999E-2</v>
      </c>
      <c r="O152" s="9"/>
      <c r="P152" s="10"/>
    </row>
    <row r="153" spans="3:16">
      <c r="C153" s="86"/>
      <c r="D153" s="81"/>
      <c r="E153" s="61">
        <v>6</v>
      </c>
      <c r="F153" s="61">
        <v>20</v>
      </c>
      <c r="G153" s="61">
        <v>16</v>
      </c>
      <c r="H153" s="61" t="s">
        <v>16</v>
      </c>
      <c r="I153" s="61">
        <v>91.390199999999993</v>
      </c>
      <c r="J153" s="61">
        <v>-4.7660000000000001E-2</v>
      </c>
      <c r="K153" s="61">
        <v>5.0337670000000001</v>
      </c>
      <c r="L153" s="62">
        <v>3.5200000000000002E-5</v>
      </c>
      <c r="M153" s="61">
        <v>8.1329999999999996E-3</v>
      </c>
      <c r="N153" s="61">
        <v>2.6776999999999999E-2</v>
      </c>
      <c r="O153" s="9"/>
      <c r="P153" s="10"/>
    </row>
    <row r="154" spans="3:16">
      <c r="C154" s="86"/>
      <c r="D154" s="81"/>
      <c r="E154" s="61">
        <v>6</v>
      </c>
      <c r="F154" s="61">
        <v>20</v>
      </c>
      <c r="G154" s="61">
        <v>17</v>
      </c>
      <c r="H154" s="61" t="s">
        <v>17</v>
      </c>
      <c r="I154" s="61">
        <v>98.940770000000001</v>
      </c>
      <c r="J154" s="61">
        <v>-5.4059999999999997E-2</v>
      </c>
      <c r="K154" s="61">
        <v>4.7709729999999997</v>
      </c>
      <c r="L154" s="62">
        <v>3.6000000000000001E-5</v>
      </c>
      <c r="M154" s="61">
        <v>7.9349999999999993E-3</v>
      </c>
      <c r="N154" s="61">
        <v>2.4833000000000001E-2</v>
      </c>
      <c r="O154" s="9"/>
      <c r="P154" s="10"/>
    </row>
    <row r="155" spans="3:16">
      <c r="C155" s="86"/>
      <c r="D155" s="81"/>
      <c r="E155" s="61">
        <v>6</v>
      </c>
      <c r="F155" s="61">
        <v>20</v>
      </c>
      <c r="G155" s="61">
        <v>18</v>
      </c>
      <c r="H155" s="61" t="s">
        <v>18</v>
      </c>
      <c r="I155" s="61">
        <v>111.5167</v>
      </c>
      <c r="J155" s="61">
        <v>-0.12551999999999999</v>
      </c>
      <c r="K155" s="61">
        <v>4.9135140000000002</v>
      </c>
      <c r="L155" s="62">
        <v>5.2800000000000003E-5</v>
      </c>
      <c r="M155" s="61">
        <v>8.3339999999999994E-3</v>
      </c>
      <c r="N155" s="61">
        <v>2.2613999999999999E-2</v>
      </c>
      <c r="O155" s="9"/>
      <c r="P155" s="10"/>
    </row>
    <row r="156" spans="3:16">
      <c r="C156" s="86"/>
      <c r="D156" s="81"/>
      <c r="E156" s="61">
        <v>6</v>
      </c>
      <c r="F156" s="61">
        <v>20</v>
      </c>
      <c r="G156" s="61">
        <v>19</v>
      </c>
      <c r="H156" s="61" t="s">
        <v>19</v>
      </c>
      <c r="I156" s="61">
        <v>124.3793</v>
      </c>
      <c r="J156" s="61">
        <v>-0.18484</v>
      </c>
      <c r="K156" s="61">
        <v>4.9476230000000001</v>
      </c>
      <c r="L156" s="62">
        <v>7.0400000000000004E-5</v>
      </c>
      <c r="M156" s="61">
        <v>8.7089999999999997E-3</v>
      </c>
      <c r="N156" s="61">
        <v>2.0733000000000001E-2</v>
      </c>
      <c r="O156" s="9"/>
      <c r="P156" s="10"/>
    </row>
    <row r="157" spans="3:16">
      <c r="C157" s="86"/>
      <c r="D157" s="81"/>
      <c r="E157" s="61">
        <v>6</v>
      </c>
      <c r="F157" s="61">
        <v>20</v>
      </c>
      <c r="G157" s="61">
        <v>20</v>
      </c>
      <c r="H157" s="61" t="s">
        <v>20</v>
      </c>
      <c r="I157" s="61">
        <v>132.06059999999999</v>
      </c>
      <c r="J157" s="61">
        <v>-0.18468000000000001</v>
      </c>
      <c r="K157" s="61">
        <v>4.7214590000000003</v>
      </c>
      <c r="L157" s="62">
        <v>7.1000000000000005E-5</v>
      </c>
      <c r="M157" s="61">
        <v>8.5400000000000007E-3</v>
      </c>
      <c r="N157" s="61">
        <v>1.9594E-2</v>
      </c>
      <c r="O157" s="9"/>
      <c r="P157" s="10"/>
    </row>
    <row r="158" spans="3:16">
      <c r="C158" s="86"/>
      <c r="D158" s="81"/>
      <c r="E158" s="63"/>
      <c r="F158" s="64"/>
      <c r="G158" s="64"/>
      <c r="H158" s="64"/>
      <c r="I158" s="64"/>
      <c r="J158" s="64"/>
      <c r="K158" s="64"/>
      <c r="L158" s="64"/>
      <c r="M158" s="64"/>
      <c r="N158" s="64"/>
      <c r="O158" s="9"/>
      <c r="P158" s="10"/>
    </row>
    <row r="159" spans="3:16">
      <c r="C159" s="86"/>
      <c r="D159" s="81"/>
      <c r="E159" s="22" t="s">
        <v>21</v>
      </c>
      <c r="F159" s="22" t="s">
        <v>86</v>
      </c>
      <c r="G159" s="22"/>
      <c r="H159" s="22" t="s">
        <v>13</v>
      </c>
      <c r="I159" s="22" t="s">
        <v>85</v>
      </c>
      <c r="J159" s="22" t="s">
        <v>28</v>
      </c>
      <c r="K159" s="22" t="s">
        <v>29</v>
      </c>
      <c r="L159" s="22" t="s">
        <v>30</v>
      </c>
      <c r="M159" s="22" t="s">
        <v>31</v>
      </c>
      <c r="N159" s="22" t="s">
        <v>32</v>
      </c>
      <c r="O159" s="9"/>
      <c r="P159" s="10"/>
    </row>
    <row r="160" spans="3:16">
      <c r="C160" s="86"/>
      <c r="D160" s="81"/>
      <c r="E160" s="61">
        <v>6</v>
      </c>
      <c r="F160" s="61">
        <v>120</v>
      </c>
      <c r="G160" s="61">
        <v>1</v>
      </c>
      <c r="H160" s="61" t="s">
        <v>0</v>
      </c>
      <c r="I160" s="61">
        <v>6.6611799999999999</v>
      </c>
      <c r="J160" s="61">
        <v>0.38596999999999998</v>
      </c>
      <c r="K160" s="61">
        <v>11.832269999999999</v>
      </c>
      <c r="L160" s="62">
        <v>5.9700000000000001E-5</v>
      </c>
      <c r="M160" s="61">
        <v>4.5900000000000003E-3</v>
      </c>
      <c r="N160" s="61">
        <v>0.26565</v>
      </c>
      <c r="O160" s="9"/>
      <c r="P160" s="10"/>
    </row>
    <row r="161" spans="3:16">
      <c r="C161" s="86"/>
      <c r="D161" s="81"/>
      <c r="E161" s="61">
        <v>6</v>
      </c>
      <c r="F161" s="61">
        <v>120</v>
      </c>
      <c r="G161" s="61">
        <v>2</v>
      </c>
      <c r="H161" s="61" t="s">
        <v>1</v>
      </c>
      <c r="I161" s="61">
        <v>8.0916200000000007</v>
      </c>
      <c r="J161" s="61">
        <v>0.36214000000000002</v>
      </c>
      <c r="K161" s="61">
        <v>13.863200000000001</v>
      </c>
      <c r="L161" s="62">
        <v>5.0699999999999999E-5</v>
      </c>
      <c r="M161" s="61">
        <v>3.5959999999999998E-3</v>
      </c>
      <c r="N161" s="61">
        <v>0.23040099999999999</v>
      </c>
      <c r="O161" s="9"/>
      <c r="P161" s="10"/>
    </row>
    <row r="162" spans="3:16">
      <c r="C162" s="86"/>
      <c r="D162" s="81"/>
      <c r="E162" s="61">
        <v>6</v>
      </c>
      <c r="F162" s="61">
        <v>120</v>
      </c>
      <c r="G162" s="61">
        <v>3</v>
      </c>
      <c r="H162" s="61" t="s">
        <v>2</v>
      </c>
      <c r="I162" s="61">
        <v>10.220700000000001</v>
      </c>
      <c r="J162" s="61">
        <v>0.42612499999999998</v>
      </c>
      <c r="K162" s="61">
        <v>14.040990000000001</v>
      </c>
      <c r="L162" s="62">
        <v>4.18E-5</v>
      </c>
      <c r="M162" s="61">
        <v>3.1589999999999999E-3</v>
      </c>
      <c r="N162" s="61">
        <v>0.15853900000000001</v>
      </c>
      <c r="O162" s="9"/>
      <c r="P162" s="10"/>
    </row>
    <row r="163" spans="3:16">
      <c r="C163" s="86"/>
      <c r="D163" s="81"/>
      <c r="E163" s="61">
        <v>6</v>
      </c>
      <c r="F163" s="61">
        <v>120</v>
      </c>
      <c r="G163" s="61">
        <v>4</v>
      </c>
      <c r="H163" s="61" t="s">
        <v>3</v>
      </c>
      <c r="I163" s="61">
        <v>8.6386109999999992</v>
      </c>
      <c r="J163" s="61">
        <v>0.26097399999999998</v>
      </c>
      <c r="K163" s="61">
        <v>14.415649999999999</v>
      </c>
      <c r="L163" s="62">
        <v>2.1999999999999999E-5</v>
      </c>
      <c r="M163" s="61">
        <v>3.5490000000000001E-3</v>
      </c>
      <c r="N163" s="61">
        <v>0.33307799999999999</v>
      </c>
      <c r="O163" s="9"/>
      <c r="P163" s="10"/>
    </row>
    <row r="164" spans="3:16">
      <c r="C164" s="86"/>
      <c r="D164" s="81"/>
      <c r="E164" s="61">
        <v>6</v>
      </c>
      <c r="F164" s="61">
        <v>120</v>
      </c>
      <c r="G164" s="61">
        <v>5</v>
      </c>
      <c r="H164" s="61" t="s">
        <v>4</v>
      </c>
      <c r="I164" s="61">
        <v>10.68749</v>
      </c>
      <c r="J164" s="61">
        <v>0.35664400000000002</v>
      </c>
      <c r="K164" s="61">
        <v>14.167120000000001</v>
      </c>
      <c r="L164" s="62">
        <v>3.79E-5</v>
      </c>
      <c r="M164" s="61">
        <v>2.3969999999999998E-3</v>
      </c>
      <c r="N164" s="61">
        <v>0.154782</v>
      </c>
      <c r="O164" s="9"/>
      <c r="P164" s="10"/>
    </row>
    <row r="165" spans="3:16">
      <c r="C165" s="86"/>
      <c r="D165" s="81"/>
      <c r="E165" s="61">
        <v>6</v>
      </c>
      <c r="F165" s="61">
        <v>120</v>
      </c>
      <c r="G165" s="61">
        <v>6</v>
      </c>
      <c r="H165" s="61" t="s">
        <v>5</v>
      </c>
      <c r="I165" s="61">
        <v>8.8706160000000001</v>
      </c>
      <c r="J165" s="61">
        <v>0.142956</v>
      </c>
      <c r="K165" s="61">
        <v>13.25778</v>
      </c>
      <c r="L165" s="62">
        <v>6.0099999999999997E-5</v>
      </c>
      <c r="M165" s="61">
        <v>7.9889999999999996E-3</v>
      </c>
      <c r="N165" s="61">
        <v>0.267849</v>
      </c>
      <c r="O165" s="9"/>
      <c r="P165" s="10"/>
    </row>
    <row r="166" spans="3:16">
      <c r="C166" s="86"/>
      <c r="D166" s="81"/>
      <c r="E166" s="61">
        <v>6</v>
      </c>
      <c r="F166" s="61">
        <v>120</v>
      </c>
      <c r="G166" s="61">
        <v>7</v>
      </c>
      <c r="H166" s="61" t="s">
        <v>6</v>
      </c>
      <c r="I166" s="61">
        <v>14.417210000000001</v>
      </c>
      <c r="J166" s="61">
        <v>0.115409</v>
      </c>
      <c r="K166" s="61">
        <v>8.6401660000000007</v>
      </c>
      <c r="L166" s="62">
        <v>5.6499999999999998E-5</v>
      </c>
      <c r="M166" s="61">
        <v>9.299E-3</v>
      </c>
      <c r="N166" s="61">
        <v>0.16794799999999999</v>
      </c>
      <c r="O166" s="9"/>
      <c r="P166" s="10"/>
    </row>
    <row r="167" spans="3:16">
      <c r="C167" s="86"/>
      <c r="D167" s="81"/>
      <c r="E167" s="61">
        <v>6</v>
      </c>
      <c r="F167" s="61">
        <v>120</v>
      </c>
      <c r="G167" s="61">
        <v>8</v>
      </c>
      <c r="H167" s="61" t="s">
        <v>7</v>
      </c>
      <c r="I167" s="61">
        <v>34.754849999999998</v>
      </c>
      <c r="J167" s="61">
        <v>0.14611399999999999</v>
      </c>
      <c r="K167" s="61">
        <v>8.362031</v>
      </c>
      <c r="L167" s="62">
        <v>1.8700000000000001E-5</v>
      </c>
      <c r="M167" s="61">
        <v>6.2500000000000003E-3</v>
      </c>
      <c r="N167" s="61">
        <v>6.7836999999999995E-2</v>
      </c>
      <c r="O167" s="9"/>
      <c r="P167" s="10"/>
    </row>
    <row r="168" spans="3:16">
      <c r="C168" s="86"/>
      <c r="D168" s="81"/>
      <c r="E168" s="61">
        <v>6</v>
      </c>
      <c r="F168" s="61">
        <v>120</v>
      </c>
      <c r="G168" s="61">
        <v>9</v>
      </c>
      <c r="H168" s="61" t="s">
        <v>8</v>
      </c>
      <c r="I168" s="61">
        <v>40.659930000000003</v>
      </c>
      <c r="J168" s="61">
        <v>0.21837000000000001</v>
      </c>
      <c r="K168" s="61">
        <v>5.4462159999999997</v>
      </c>
      <c r="L168" s="62">
        <v>-3.1999999999999999E-6</v>
      </c>
      <c r="M168" s="61">
        <v>4.2139999999999999E-3</v>
      </c>
      <c r="N168" s="61">
        <v>5.7873000000000001E-2</v>
      </c>
      <c r="O168" s="9"/>
      <c r="P168" s="10"/>
    </row>
    <row r="169" spans="3:16">
      <c r="C169" s="86"/>
      <c r="D169" s="81"/>
      <c r="E169" s="61">
        <v>6</v>
      </c>
      <c r="F169" s="61">
        <v>120</v>
      </c>
      <c r="G169" s="61">
        <v>10</v>
      </c>
      <c r="H169" s="61" t="s">
        <v>9</v>
      </c>
      <c r="I169" s="61">
        <v>40.352249999999998</v>
      </c>
      <c r="J169" s="61">
        <v>4.5768000000000003E-2</v>
      </c>
      <c r="K169" s="61">
        <v>8.5565490000000004</v>
      </c>
      <c r="L169" s="62">
        <v>3.3399999999999999E-5</v>
      </c>
      <c r="M169" s="61">
        <v>8.5800000000000008E-3</v>
      </c>
      <c r="N169" s="61">
        <v>6.0165999999999997E-2</v>
      </c>
      <c r="O169" s="9"/>
      <c r="P169" s="10"/>
    </row>
    <row r="170" spans="3:16">
      <c r="C170" s="86"/>
      <c r="D170" s="81"/>
      <c r="E170" s="61">
        <v>6</v>
      </c>
      <c r="F170" s="61">
        <v>120</v>
      </c>
      <c r="G170" s="61">
        <v>11</v>
      </c>
      <c r="H170" s="61" t="s">
        <v>10</v>
      </c>
      <c r="I170" s="61">
        <v>46.695990000000002</v>
      </c>
      <c r="J170" s="61">
        <v>6.7882999999999999E-2</v>
      </c>
      <c r="K170" s="61">
        <v>7.3045559999999998</v>
      </c>
      <c r="L170" s="62">
        <v>3.2799999999999998E-5</v>
      </c>
      <c r="M170" s="61">
        <v>7.7980000000000002E-3</v>
      </c>
      <c r="N170" s="61">
        <v>5.0442000000000001E-2</v>
      </c>
      <c r="O170" s="9"/>
      <c r="P170" s="10"/>
    </row>
    <row r="171" spans="3:16">
      <c r="C171" s="86"/>
      <c r="D171" s="81"/>
      <c r="E171" s="61">
        <v>6</v>
      </c>
      <c r="F171" s="61">
        <v>120</v>
      </c>
      <c r="G171" s="61">
        <v>12</v>
      </c>
      <c r="H171" s="61" t="s">
        <v>11</v>
      </c>
      <c r="I171" s="61">
        <v>52.45946</v>
      </c>
      <c r="J171" s="61">
        <v>8.6463999999999999E-2</v>
      </c>
      <c r="K171" s="61">
        <v>6.2808630000000001</v>
      </c>
      <c r="L171" s="62">
        <v>2.9E-5</v>
      </c>
      <c r="M171" s="61">
        <v>7.7270000000000004E-3</v>
      </c>
      <c r="N171" s="61">
        <v>4.4801000000000001E-2</v>
      </c>
      <c r="O171" s="9"/>
      <c r="P171" s="10"/>
    </row>
    <row r="172" spans="3:16">
      <c r="C172" s="86"/>
      <c r="D172" s="81"/>
      <c r="E172" s="61">
        <v>6</v>
      </c>
      <c r="F172" s="61">
        <v>120</v>
      </c>
      <c r="G172" s="61">
        <v>13</v>
      </c>
      <c r="H172" s="61" t="s">
        <v>12</v>
      </c>
      <c r="I172" s="61">
        <v>62.938809999999997</v>
      </c>
      <c r="J172" s="61">
        <v>8.5700000000000001E-4</v>
      </c>
      <c r="K172" s="61">
        <v>6.4190829999999997</v>
      </c>
      <c r="L172" s="62">
        <v>3.7599999999999999E-5</v>
      </c>
      <c r="M172" s="61">
        <v>8.5520000000000006E-3</v>
      </c>
      <c r="N172" s="61">
        <v>3.8134000000000001E-2</v>
      </c>
      <c r="O172" s="9"/>
      <c r="P172" s="10"/>
    </row>
    <row r="173" spans="3:16">
      <c r="C173" s="86"/>
      <c r="D173" s="81"/>
      <c r="E173" s="61">
        <v>6</v>
      </c>
      <c r="F173" s="61">
        <v>120</v>
      </c>
      <c r="G173" s="61">
        <v>14</v>
      </c>
      <c r="H173" s="61" t="s">
        <v>14</v>
      </c>
      <c r="I173" s="61">
        <v>70.747100000000003</v>
      </c>
      <c r="J173" s="61">
        <v>9.1789999999999997E-3</v>
      </c>
      <c r="K173" s="61">
        <v>5.6767649999999996</v>
      </c>
      <c r="L173" s="62">
        <v>3.4199999999999998E-5</v>
      </c>
      <c r="M173" s="61">
        <v>8.2419999999999993E-3</v>
      </c>
      <c r="N173" s="61">
        <v>3.3907E-2</v>
      </c>
      <c r="O173" s="9"/>
      <c r="P173" s="10"/>
    </row>
    <row r="174" spans="3:16">
      <c r="C174" s="86"/>
      <c r="D174" s="81"/>
      <c r="E174" s="61">
        <v>6</v>
      </c>
      <c r="F174" s="61">
        <v>120</v>
      </c>
      <c r="G174" s="61">
        <v>15</v>
      </c>
      <c r="H174" s="61" t="s">
        <v>15</v>
      </c>
      <c r="I174" s="61">
        <v>68.702640000000002</v>
      </c>
      <c r="J174" s="61">
        <v>5.6309999999999997E-3</v>
      </c>
      <c r="K174" s="61">
        <v>5.8952850000000003</v>
      </c>
      <c r="L174" s="62">
        <v>3.5800000000000003E-5</v>
      </c>
      <c r="M174" s="61">
        <v>8.4499999999999992E-3</v>
      </c>
      <c r="N174" s="61">
        <v>3.4891999999999999E-2</v>
      </c>
      <c r="O174" s="9"/>
      <c r="P174" s="10"/>
    </row>
    <row r="175" spans="3:16">
      <c r="C175" s="86"/>
      <c r="D175" s="81"/>
      <c r="E175" s="61">
        <v>6</v>
      </c>
      <c r="F175" s="61">
        <v>120</v>
      </c>
      <c r="G175" s="61">
        <v>16</v>
      </c>
      <c r="H175" s="61" t="s">
        <v>16</v>
      </c>
      <c r="I175" s="61">
        <v>92.056970000000007</v>
      </c>
      <c r="J175" s="61">
        <v>-6.9699999999999998E-2</v>
      </c>
      <c r="K175" s="61">
        <v>5.279134</v>
      </c>
      <c r="L175" s="62">
        <v>4.3900000000000003E-5</v>
      </c>
      <c r="M175" s="61">
        <v>7.901E-3</v>
      </c>
      <c r="N175" s="61">
        <v>2.6669000000000002E-2</v>
      </c>
      <c r="O175" s="9"/>
      <c r="P175" s="10"/>
    </row>
    <row r="176" spans="3:16">
      <c r="C176" s="86"/>
      <c r="D176" s="81"/>
      <c r="E176" s="61">
        <v>6</v>
      </c>
      <c r="F176" s="61">
        <v>120</v>
      </c>
      <c r="G176" s="61">
        <v>17</v>
      </c>
      <c r="H176" s="61" t="s">
        <v>17</v>
      </c>
      <c r="I176" s="61">
        <v>99.60275</v>
      </c>
      <c r="J176" s="61">
        <v>-7.5200000000000003E-2</v>
      </c>
      <c r="K176" s="61">
        <v>5.0049720000000004</v>
      </c>
      <c r="L176" s="62">
        <v>4.46E-5</v>
      </c>
      <c r="M176" s="61">
        <v>7.7270000000000004E-3</v>
      </c>
      <c r="N176" s="61">
        <v>2.4746000000000001E-2</v>
      </c>
      <c r="O176" s="9"/>
      <c r="P176" s="10"/>
    </row>
    <row r="177" spans="3:16">
      <c r="C177" s="86"/>
      <c r="D177" s="81"/>
      <c r="E177" s="61">
        <v>6</v>
      </c>
      <c r="F177" s="61">
        <v>120</v>
      </c>
      <c r="G177" s="61">
        <v>18</v>
      </c>
      <c r="H177" s="61" t="s">
        <v>18</v>
      </c>
      <c r="I177" s="61">
        <v>112.175</v>
      </c>
      <c r="J177" s="61">
        <v>-0.14565</v>
      </c>
      <c r="K177" s="61">
        <v>5.1258109999999997</v>
      </c>
      <c r="L177" s="62">
        <v>6.2899999999999997E-5</v>
      </c>
      <c r="M177" s="61">
        <v>8.1410000000000007E-3</v>
      </c>
      <c r="N177" s="61">
        <v>2.2540000000000001E-2</v>
      </c>
      <c r="O177" s="9"/>
      <c r="P177" s="10"/>
    </row>
    <row r="178" spans="3:16">
      <c r="C178" s="86"/>
      <c r="D178" s="81"/>
      <c r="E178" s="61">
        <v>6</v>
      </c>
      <c r="F178" s="61">
        <v>120</v>
      </c>
      <c r="G178" s="61">
        <v>19</v>
      </c>
      <c r="H178" s="61" t="s">
        <v>19</v>
      </c>
      <c r="I178" s="61">
        <v>125.03789999999999</v>
      </c>
      <c r="J178" s="61">
        <v>-0.20479</v>
      </c>
      <c r="K178" s="61">
        <v>5.151179</v>
      </c>
      <c r="L178" s="62">
        <v>8.2200000000000006E-5</v>
      </c>
      <c r="M178" s="61">
        <v>8.5249999999999996E-3</v>
      </c>
      <c r="N178" s="61">
        <v>2.0670000000000001E-2</v>
      </c>
      <c r="O178" s="9"/>
      <c r="P178" s="10"/>
    </row>
    <row r="179" spans="3:16">
      <c r="C179" s="86"/>
      <c r="D179" s="81"/>
      <c r="E179" s="61">
        <v>6</v>
      </c>
      <c r="F179" s="61">
        <v>120</v>
      </c>
      <c r="G179" s="61">
        <v>20</v>
      </c>
      <c r="H179" s="61" t="s">
        <v>20</v>
      </c>
      <c r="I179" s="61">
        <v>132.7192</v>
      </c>
      <c r="J179" s="61">
        <v>-0.20394000000000001</v>
      </c>
      <c r="K179" s="61">
        <v>4.9155600000000002</v>
      </c>
      <c r="L179" s="62">
        <v>8.2700000000000004E-5</v>
      </c>
      <c r="M179" s="61">
        <v>8.3700000000000007E-3</v>
      </c>
      <c r="N179" s="61">
        <v>1.9539999999999998E-2</v>
      </c>
      <c r="O179" s="9"/>
      <c r="P179" s="10"/>
    </row>
    <row r="180" spans="3:16">
      <c r="C180" s="86"/>
      <c r="D180" s="81"/>
      <c r="E180" s="63"/>
      <c r="F180" s="64"/>
      <c r="G180" s="64"/>
      <c r="H180" s="64"/>
      <c r="I180" s="64"/>
      <c r="J180" s="64"/>
      <c r="K180" s="64"/>
      <c r="L180" s="64"/>
      <c r="M180" s="64"/>
      <c r="N180" s="64"/>
      <c r="O180" s="9"/>
      <c r="P180" s="10"/>
    </row>
    <row r="181" spans="3:16">
      <c r="C181" s="86"/>
      <c r="D181" s="81"/>
      <c r="E181" s="22" t="s">
        <v>21</v>
      </c>
      <c r="F181" s="22" t="s">
        <v>86</v>
      </c>
      <c r="G181" s="22"/>
      <c r="H181" s="22" t="s">
        <v>13</v>
      </c>
      <c r="I181" s="22" t="s">
        <v>85</v>
      </c>
      <c r="J181" s="22" t="s">
        <v>28</v>
      </c>
      <c r="K181" s="22" t="s">
        <v>29</v>
      </c>
      <c r="L181" s="22" t="s">
        <v>30</v>
      </c>
      <c r="M181" s="22" t="s">
        <v>31</v>
      </c>
      <c r="N181" s="22" t="s">
        <v>32</v>
      </c>
      <c r="O181" s="9"/>
      <c r="P181" s="10"/>
    </row>
    <row r="182" spans="3:16">
      <c r="C182" s="86"/>
      <c r="D182" s="81"/>
      <c r="E182" s="61">
        <v>6</v>
      </c>
      <c r="F182" s="61">
        <v>300</v>
      </c>
      <c r="G182" s="61">
        <v>1</v>
      </c>
      <c r="H182" s="61" t="s">
        <v>0</v>
      </c>
      <c r="I182" s="61">
        <v>6.6711029999999996</v>
      </c>
      <c r="J182" s="61">
        <v>0.35338399999999998</v>
      </c>
      <c r="K182" s="61">
        <v>11.721209999999999</v>
      </c>
      <c r="L182" s="62">
        <v>6.3800000000000006E-5</v>
      </c>
      <c r="M182" s="61">
        <v>4.3049999999999998E-3</v>
      </c>
      <c r="N182" s="61">
        <v>0.29665900000000001</v>
      </c>
      <c r="O182" s="9"/>
      <c r="P182" s="10"/>
    </row>
    <row r="183" spans="3:16">
      <c r="C183" s="86"/>
      <c r="D183" s="81"/>
      <c r="E183" s="61">
        <v>6</v>
      </c>
      <c r="F183" s="61">
        <v>300</v>
      </c>
      <c r="G183" s="61">
        <v>2</v>
      </c>
      <c r="H183" s="61" t="s">
        <v>1</v>
      </c>
      <c r="I183" s="61">
        <v>8.1302610000000008</v>
      </c>
      <c r="J183" s="61">
        <v>0.32417000000000001</v>
      </c>
      <c r="K183" s="61">
        <v>13.73434</v>
      </c>
      <c r="L183" s="62">
        <v>5.5500000000000001E-5</v>
      </c>
      <c r="M183" s="61">
        <v>3.274E-3</v>
      </c>
      <c r="N183" s="61">
        <v>0.25772699999999998</v>
      </c>
      <c r="O183" s="9"/>
      <c r="P183" s="10"/>
    </row>
    <row r="184" spans="3:16">
      <c r="C184" s="86"/>
      <c r="D184" s="81"/>
      <c r="E184" s="61">
        <v>6</v>
      </c>
      <c r="F184" s="61">
        <v>300</v>
      </c>
      <c r="G184" s="61">
        <v>3</v>
      </c>
      <c r="H184" s="61" t="s">
        <v>2</v>
      </c>
      <c r="I184" s="61">
        <v>10.28149</v>
      </c>
      <c r="J184" s="61">
        <v>0.38325300000000001</v>
      </c>
      <c r="K184" s="61">
        <v>13.98039</v>
      </c>
      <c r="L184" s="62">
        <v>4.7700000000000001E-5</v>
      </c>
      <c r="M184" s="61">
        <v>2.7910000000000001E-3</v>
      </c>
      <c r="N184" s="61">
        <v>0.18238099999999999</v>
      </c>
      <c r="O184" s="9"/>
      <c r="P184" s="10"/>
    </row>
    <row r="185" spans="3:16">
      <c r="C185" s="86"/>
      <c r="D185" s="81"/>
      <c r="E185" s="61">
        <v>6</v>
      </c>
      <c r="F185" s="61">
        <v>300</v>
      </c>
      <c r="G185" s="61">
        <v>4</v>
      </c>
      <c r="H185" s="61" t="s">
        <v>3</v>
      </c>
      <c r="I185" s="61">
        <v>8.7215550000000004</v>
      </c>
      <c r="J185" s="61">
        <v>0.23458599999999999</v>
      </c>
      <c r="K185" s="61">
        <v>13.88386</v>
      </c>
      <c r="L185" s="62">
        <v>2.4600000000000002E-5</v>
      </c>
      <c r="M185" s="61">
        <v>2.9499999999999999E-3</v>
      </c>
      <c r="N185" s="61">
        <v>0.35135899999999998</v>
      </c>
      <c r="O185" s="9"/>
      <c r="P185" s="10"/>
    </row>
    <row r="186" spans="3:16">
      <c r="C186" s="86"/>
      <c r="D186" s="81"/>
      <c r="E186" s="61">
        <v>6</v>
      </c>
      <c r="F186" s="61">
        <v>300</v>
      </c>
      <c r="G186" s="61">
        <v>5</v>
      </c>
      <c r="H186" s="61" t="s">
        <v>4</v>
      </c>
      <c r="I186" s="61">
        <v>10.792310000000001</v>
      </c>
      <c r="J186" s="61">
        <v>0.32596700000000001</v>
      </c>
      <c r="K186" s="61">
        <v>14.0717</v>
      </c>
      <c r="L186" s="62">
        <v>4.6300000000000001E-5</v>
      </c>
      <c r="M186" s="61">
        <v>1.8190000000000001E-3</v>
      </c>
      <c r="N186" s="61">
        <v>0.16206200000000001</v>
      </c>
      <c r="O186" s="9"/>
      <c r="P186" s="10"/>
    </row>
    <row r="187" spans="3:16">
      <c r="C187" s="86"/>
      <c r="D187" s="81"/>
      <c r="E187" s="61">
        <v>6</v>
      </c>
      <c r="F187" s="61">
        <v>300</v>
      </c>
      <c r="G187" s="61">
        <v>6</v>
      </c>
      <c r="H187" s="61" t="s">
        <v>5</v>
      </c>
      <c r="I187" s="61">
        <v>8.9067399999999992</v>
      </c>
      <c r="J187" s="61">
        <v>0.18679100000000001</v>
      </c>
      <c r="K187" s="61">
        <v>11.96899</v>
      </c>
      <c r="L187" s="62">
        <v>5.3900000000000002E-5</v>
      </c>
      <c r="M187" s="61">
        <v>7.0280000000000004E-3</v>
      </c>
      <c r="N187" s="61">
        <v>0.271206</v>
      </c>
      <c r="O187" s="9"/>
      <c r="P187" s="10"/>
    </row>
    <row r="188" spans="3:16">
      <c r="C188" s="86"/>
      <c r="D188" s="81"/>
      <c r="E188" s="61">
        <v>6</v>
      </c>
      <c r="F188" s="61">
        <v>300</v>
      </c>
      <c r="G188" s="61">
        <v>7</v>
      </c>
      <c r="H188" s="61" t="s">
        <v>6</v>
      </c>
      <c r="I188" s="61">
        <v>14.45852</v>
      </c>
      <c r="J188" s="61">
        <v>0.14241300000000001</v>
      </c>
      <c r="K188" s="61">
        <v>7.796252</v>
      </c>
      <c r="L188" s="62">
        <v>6.0300000000000002E-5</v>
      </c>
      <c r="M188" s="61">
        <v>8.0309999999999999E-3</v>
      </c>
      <c r="N188" s="61">
        <v>0.168549</v>
      </c>
      <c r="O188" s="9"/>
      <c r="P188" s="10"/>
    </row>
    <row r="189" spans="3:16">
      <c r="C189" s="86"/>
      <c r="D189" s="81"/>
      <c r="E189" s="61">
        <v>6</v>
      </c>
      <c r="F189" s="61">
        <v>300</v>
      </c>
      <c r="G189" s="61">
        <v>8</v>
      </c>
      <c r="H189" s="61" t="s">
        <v>7</v>
      </c>
      <c r="I189" s="61">
        <v>35.194409999999998</v>
      </c>
      <c r="J189" s="61">
        <v>0.121799</v>
      </c>
      <c r="K189" s="61">
        <v>8.6140310000000007</v>
      </c>
      <c r="L189" s="62">
        <v>2.87E-5</v>
      </c>
      <c r="M189" s="61">
        <v>5.7869999999999996E-3</v>
      </c>
      <c r="N189" s="61">
        <v>6.7160999999999998E-2</v>
      </c>
      <c r="O189" s="9"/>
      <c r="P189" s="10"/>
    </row>
    <row r="190" spans="3:16">
      <c r="C190" s="86"/>
      <c r="D190" s="81"/>
      <c r="E190" s="61">
        <v>6</v>
      </c>
      <c r="F190" s="61">
        <v>300</v>
      </c>
      <c r="G190" s="61">
        <v>9</v>
      </c>
      <c r="H190" s="61" t="s">
        <v>8</v>
      </c>
      <c r="I190" s="61">
        <v>41.784460000000003</v>
      </c>
      <c r="J190" s="61">
        <v>0.20300799999999999</v>
      </c>
      <c r="K190" s="61">
        <v>5.4793750000000001</v>
      </c>
      <c r="L190" s="62">
        <v>3.23E-6</v>
      </c>
      <c r="M190" s="61">
        <v>4.0080000000000003E-3</v>
      </c>
      <c r="N190" s="61">
        <v>5.6233999999999999E-2</v>
      </c>
      <c r="O190" s="9"/>
      <c r="P190" s="10"/>
    </row>
    <row r="191" spans="3:16">
      <c r="C191" s="86"/>
      <c r="D191" s="81"/>
      <c r="E191" s="61">
        <v>6</v>
      </c>
      <c r="F191" s="61">
        <v>300</v>
      </c>
      <c r="G191" s="61">
        <v>10</v>
      </c>
      <c r="H191" s="61" t="s">
        <v>9</v>
      </c>
      <c r="I191" s="61">
        <v>41.253900000000002</v>
      </c>
      <c r="J191" s="61">
        <v>1.1604E-2</v>
      </c>
      <c r="K191" s="61">
        <v>8.7850710000000003</v>
      </c>
      <c r="L191" s="62">
        <v>4.8099999999999997E-5</v>
      </c>
      <c r="M191" s="61">
        <v>7.8919999999999997E-3</v>
      </c>
      <c r="N191" s="61">
        <v>5.9193999999999997E-2</v>
      </c>
      <c r="O191" s="9"/>
      <c r="P191" s="10"/>
    </row>
    <row r="192" spans="3:16">
      <c r="C192" s="86"/>
      <c r="D192" s="81"/>
      <c r="E192" s="61">
        <v>6</v>
      </c>
      <c r="F192" s="61">
        <v>300</v>
      </c>
      <c r="G192" s="61">
        <v>11</v>
      </c>
      <c r="H192" s="61" t="s">
        <v>10</v>
      </c>
      <c r="I192" s="61">
        <v>46.881050000000002</v>
      </c>
      <c r="J192" s="61">
        <v>3.4321999999999998E-2</v>
      </c>
      <c r="K192" s="61">
        <v>7.7386039999999996</v>
      </c>
      <c r="L192" s="62">
        <v>4.7800000000000003E-5</v>
      </c>
      <c r="M192" s="61">
        <v>7.2119999999999997E-3</v>
      </c>
      <c r="N192" s="61">
        <v>5.0474999999999999E-2</v>
      </c>
      <c r="O192" s="9"/>
      <c r="P192" s="10"/>
    </row>
    <row r="193" spans="3:171">
      <c r="C193" s="86"/>
      <c r="D193" s="81"/>
      <c r="E193" s="61">
        <v>6</v>
      </c>
      <c r="F193" s="61">
        <v>300</v>
      </c>
      <c r="G193" s="61">
        <v>12</v>
      </c>
      <c r="H193" s="61" t="s">
        <v>11</v>
      </c>
      <c r="I193" s="61">
        <v>52.669820000000001</v>
      </c>
      <c r="J193" s="61">
        <v>5.5953999999999997E-2</v>
      </c>
      <c r="K193" s="61">
        <v>6.6837650000000002</v>
      </c>
      <c r="L193" s="62">
        <v>4.2899999999999999E-5</v>
      </c>
      <c r="M193" s="61">
        <v>7.1679999999999999E-3</v>
      </c>
      <c r="N193" s="61">
        <v>4.4802000000000002E-2</v>
      </c>
      <c r="O193" s="9"/>
      <c r="P193" s="10"/>
    </row>
    <row r="194" spans="3:171">
      <c r="C194" s="86"/>
      <c r="D194" s="81"/>
      <c r="E194" s="61">
        <v>6</v>
      </c>
      <c r="F194" s="61">
        <v>300</v>
      </c>
      <c r="G194" s="61">
        <v>13</v>
      </c>
      <c r="H194" s="61" t="s">
        <v>12</v>
      </c>
      <c r="I194" s="61">
        <v>63.474820000000001</v>
      </c>
      <c r="J194" s="61">
        <v>-4.2540000000000001E-2</v>
      </c>
      <c r="K194" s="61">
        <v>6.977474</v>
      </c>
      <c r="L194" s="62">
        <v>5.5800000000000001E-5</v>
      </c>
      <c r="M194" s="61">
        <v>8.0800000000000004E-3</v>
      </c>
      <c r="N194" s="61">
        <v>3.7988000000000001E-2</v>
      </c>
      <c r="O194" s="9"/>
      <c r="P194" s="10"/>
    </row>
    <row r="195" spans="3:171">
      <c r="C195" s="86"/>
      <c r="D195" s="81"/>
      <c r="E195" s="61">
        <v>6</v>
      </c>
      <c r="F195" s="61">
        <v>300</v>
      </c>
      <c r="G195" s="61">
        <v>14</v>
      </c>
      <c r="H195" s="61" t="s">
        <v>14</v>
      </c>
      <c r="I195" s="61">
        <v>71.507009999999994</v>
      </c>
      <c r="J195" s="61">
        <v>-3.2989999999999998E-2</v>
      </c>
      <c r="K195" s="61">
        <v>6.2137380000000002</v>
      </c>
      <c r="L195" s="62">
        <v>5.1499999999999998E-5</v>
      </c>
      <c r="M195" s="61">
        <v>7.8009999999999998E-3</v>
      </c>
      <c r="N195" s="61">
        <v>3.3702999999999997E-2</v>
      </c>
      <c r="O195" s="9"/>
      <c r="P195" s="10"/>
    </row>
    <row r="196" spans="3:171">
      <c r="C196" s="86"/>
      <c r="D196" s="81"/>
      <c r="E196" s="61">
        <v>6</v>
      </c>
      <c r="F196" s="61">
        <v>300</v>
      </c>
      <c r="G196" s="61">
        <v>15</v>
      </c>
      <c r="H196" s="61" t="s">
        <v>15</v>
      </c>
      <c r="I196" s="61">
        <v>68.984610000000004</v>
      </c>
      <c r="J196" s="61">
        <v>-3.9629999999999999E-2</v>
      </c>
      <c r="K196" s="61">
        <v>6.525944</v>
      </c>
      <c r="L196" s="62">
        <v>5.4400000000000001E-5</v>
      </c>
      <c r="M196" s="61">
        <v>8.0280000000000004E-3</v>
      </c>
      <c r="N196" s="61">
        <v>3.4909999999999997E-2</v>
      </c>
      <c r="O196" s="9"/>
      <c r="P196" s="10"/>
    </row>
    <row r="197" spans="3:171">
      <c r="C197" s="86"/>
      <c r="D197" s="81"/>
      <c r="E197" s="61">
        <v>6</v>
      </c>
      <c r="F197" s="61">
        <v>300</v>
      </c>
      <c r="G197" s="61">
        <v>16</v>
      </c>
      <c r="H197" s="61" t="s">
        <v>16</v>
      </c>
      <c r="I197" s="61">
        <v>93.09581</v>
      </c>
      <c r="J197" s="61">
        <v>-0.10353999999999999</v>
      </c>
      <c r="K197" s="61">
        <v>5.671144</v>
      </c>
      <c r="L197" s="62">
        <v>5.9899999999999999E-5</v>
      </c>
      <c r="M197" s="61">
        <v>7.5519999999999997E-3</v>
      </c>
      <c r="N197" s="61">
        <v>2.6476E-2</v>
      </c>
      <c r="O197" s="9"/>
      <c r="P197" s="10"/>
    </row>
    <row r="198" spans="3:171">
      <c r="C198" s="86"/>
      <c r="D198" s="81"/>
      <c r="E198" s="61">
        <v>6</v>
      </c>
      <c r="F198" s="61">
        <v>300</v>
      </c>
      <c r="G198" s="61">
        <v>17</v>
      </c>
      <c r="H198" s="61" t="s">
        <v>17</v>
      </c>
      <c r="I198" s="61">
        <v>100.5787</v>
      </c>
      <c r="J198" s="61">
        <v>-0.10689</v>
      </c>
      <c r="K198" s="61">
        <v>5.3688570000000002</v>
      </c>
      <c r="L198" s="62">
        <v>6.0099999999999997E-5</v>
      </c>
      <c r="M198" s="61">
        <v>7.4139999999999996E-3</v>
      </c>
      <c r="N198" s="61">
        <v>2.4601000000000001E-2</v>
      </c>
      <c r="O198" s="9"/>
      <c r="P198" s="10"/>
    </row>
    <row r="199" spans="3:171">
      <c r="C199" s="86"/>
      <c r="D199" s="81"/>
      <c r="E199" s="61">
        <v>6</v>
      </c>
      <c r="F199" s="61">
        <v>300</v>
      </c>
      <c r="G199" s="61">
        <v>18</v>
      </c>
      <c r="H199" s="61" t="s">
        <v>18</v>
      </c>
      <c r="I199" s="61">
        <v>113.02330000000001</v>
      </c>
      <c r="J199" s="61">
        <v>-0.17319999999999999</v>
      </c>
      <c r="K199" s="61">
        <v>5.4233149999999997</v>
      </c>
      <c r="L199" s="62">
        <v>7.9200000000000001E-5</v>
      </c>
      <c r="M199" s="61">
        <v>7.8619999999999992E-3</v>
      </c>
      <c r="N199" s="61">
        <v>2.2439000000000001E-2</v>
      </c>
      <c r="O199" s="9"/>
      <c r="P199" s="10"/>
    </row>
    <row r="200" spans="3:171">
      <c r="C200" s="86"/>
      <c r="D200" s="81"/>
      <c r="E200" s="61">
        <v>6</v>
      </c>
      <c r="F200" s="61">
        <v>300</v>
      </c>
      <c r="G200" s="61">
        <v>19</v>
      </c>
      <c r="H200" s="61" t="s">
        <v>19</v>
      </c>
      <c r="I200" s="61">
        <v>125.8265</v>
      </c>
      <c r="J200" s="61">
        <v>-0.23133000000000001</v>
      </c>
      <c r="K200" s="61">
        <v>5.4296430000000004</v>
      </c>
      <c r="L200" s="61">
        <v>1E-4</v>
      </c>
      <c r="M200" s="61">
        <v>8.2660000000000008E-3</v>
      </c>
      <c r="N200" s="61">
        <v>2.0593E-2</v>
      </c>
      <c r="O200" s="9"/>
      <c r="P200" s="10"/>
    </row>
    <row r="201" spans="3:171">
      <c r="C201" s="86"/>
      <c r="D201" s="81"/>
      <c r="E201" s="61">
        <v>6</v>
      </c>
      <c r="F201" s="61">
        <v>300</v>
      </c>
      <c r="G201" s="61">
        <v>20</v>
      </c>
      <c r="H201" s="61" t="s">
        <v>20</v>
      </c>
      <c r="I201" s="61">
        <v>133.48939999999999</v>
      </c>
      <c r="J201" s="61">
        <v>-0.22953999999999999</v>
      </c>
      <c r="K201" s="61">
        <v>5.1804740000000002</v>
      </c>
      <c r="L201" s="61">
        <v>1E-4</v>
      </c>
      <c r="M201" s="61">
        <v>8.1320000000000003E-3</v>
      </c>
      <c r="N201" s="61">
        <v>1.9477000000000001E-2</v>
      </c>
      <c r="O201" s="9"/>
      <c r="P201" s="10"/>
    </row>
    <row r="202" spans="3:171">
      <c r="C202" s="86"/>
      <c r="D202" s="81"/>
      <c r="E202" s="63"/>
      <c r="F202" s="64"/>
      <c r="G202" s="64"/>
      <c r="H202" s="64"/>
      <c r="I202" s="64"/>
      <c r="J202" s="64"/>
      <c r="K202" s="64"/>
      <c r="L202" s="64"/>
      <c r="M202" s="64"/>
      <c r="N202" s="64"/>
      <c r="O202" s="9"/>
      <c r="P202" s="10"/>
    </row>
    <row r="203" spans="3:171">
      <c r="C203" s="86"/>
      <c r="D203" s="81"/>
      <c r="E203" s="22" t="s">
        <v>21</v>
      </c>
      <c r="F203" s="22" t="s">
        <v>86</v>
      </c>
      <c r="G203" s="22"/>
      <c r="H203" s="22" t="s">
        <v>13</v>
      </c>
      <c r="I203" s="22" t="s">
        <v>85</v>
      </c>
      <c r="J203" s="22" t="s">
        <v>28</v>
      </c>
      <c r="K203" s="22" t="s">
        <v>29</v>
      </c>
      <c r="L203" s="22" t="s">
        <v>30</v>
      </c>
      <c r="M203" s="22" t="s">
        <v>31</v>
      </c>
      <c r="N203" s="22" t="s">
        <v>32</v>
      </c>
      <c r="O203" s="9"/>
      <c r="P203" s="10"/>
    </row>
    <row r="204" spans="3:171">
      <c r="C204" s="86"/>
      <c r="D204" s="81"/>
      <c r="E204" s="61">
        <v>8</v>
      </c>
      <c r="F204" s="61">
        <v>20</v>
      </c>
      <c r="G204" s="61">
        <v>1</v>
      </c>
      <c r="H204" s="61" t="s">
        <v>0</v>
      </c>
      <c r="I204" s="61">
        <v>6.8430049999999998</v>
      </c>
      <c r="J204" s="61">
        <v>0.29988999999999999</v>
      </c>
      <c r="K204" s="61">
        <v>11.63124</v>
      </c>
      <c r="L204" s="62">
        <v>4.8300000000000002E-5</v>
      </c>
      <c r="M204" s="61">
        <v>3.5339999999999998E-3</v>
      </c>
      <c r="N204" s="62">
        <v>0.44509700000000002</v>
      </c>
      <c r="O204" s="9"/>
      <c r="P204" s="10"/>
    </row>
    <row r="205" spans="3:171">
      <c r="C205" s="86"/>
      <c r="D205" s="81"/>
      <c r="E205" s="61">
        <v>8</v>
      </c>
      <c r="F205" s="61">
        <v>20</v>
      </c>
      <c r="G205" s="61">
        <v>2</v>
      </c>
      <c r="H205" s="61" t="s">
        <v>1</v>
      </c>
      <c r="I205" s="61">
        <v>8.3961079999999999</v>
      </c>
      <c r="J205" s="61">
        <v>0.28343600000000002</v>
      </c>
      <c r="K205" s="61">
        <v>13.045970000000001</v>
      </c>
      <c r="L205" s="62">
        <v>3.7200000000000003E-5</v>
      </c>
      <c r="M205" s="61">
        <v>2.7659999999999998E-3</v>
      </c>
      <c r="N205" s="62">
        <v>0.38624599999999998</v>
      </c>
      <c r="O205" s="9"/>
      <c r="P205" s="10"/>
      <c r="Q205" s="57"/>
      <c r="Z205" s="57"/>
      <c r="AI205" s="57"/>
      <c r="AS205" s="57"/>
      <c r="BB205" s="57"/>
      <c r="BK205" s="57"/>
      <c r="BT205" s="57"/>
      <c r="CC205" s="57"/>
      <c r="CM205" s="57"/>
      <c r="CW205" s="57"/>
      <c r="DG205" s="57"/>
      <c r="DS205" s="57"/>
      <c r="EA205" s="57"/>
      <c r="EN205" s="57"/>
      <c r="EV205" s="57"/>
      <c r="FE205" s="57"/>
      <c r="FO205" s="57"/>
    </row>
    <row r="206" spans="3:171">
      <c r="C206" s="86"/>
      <c r="D206" s="81"/>
      <c r="E206" s="61">
        <v>8</v>
      </c>
      <c r="F206" s="61">
        <v>20</v>
      </c>
      <c r="G206" s="61">
        <v>3</v>
      </c>
      <c r="H206" s="61" t="s">
        <v>2</v>
      </c>
      <c r="I206" s="61">
        <v>10.49274</v>
      </c>
      <c r="J206" s="61">
        <v>0.319691</v>
      </c>
      <c r="K206" s="61">
        <v>14.082420000000001</v>
      </c>
      <c r="L206" s="62">
        <v>3.3099999999999998E-5</v>
      </c>
      <c r="M206" s="61">
        <v>2.0639999999999999E-3</v>
      </c>
      <c r="N206" s="62">
        <v>0.28478100000000001</v>
      </c>
      <c r="O206" s="9"/>
      <c r="P206" s="10"/>
    </row>
    <row r="207" spans="3:171">
      <c r="C207" s="86"/>
      <c r="D207" s="81"/>
      <c r="E207" s="61">
        <v>8</v>
      </c>
      <c r="F207" s="61">
        <v>20</v>
      </c>
      <c r="G207" s="61">
        <v>4</v>
      </c>
      <c r="H207" s="61" t="s">
        <v>3</v>
      </c>
      <c r="I207" s="61">
        <v>9.721387</v>
      </c>
      <c r="J207" s="61">
        <v>0.28582099999999999</v>
      </c>
      <c r="K207" s="61">
        <v>11.20472</v>
      </c>
      <c r="L207" s="62">
        <v>6.6200000000000001E-6</v>
      </c>
      <c r="M207" s="61">
        <v>3.4629999999999999E-3</v>
      </c>
      <c r="N207" s="61">
        <v>0.39386500000000002</v>
      </c>
      <c r="O207" s="65"/>
      <c r="P207" s="10"/>
    </row>
    <row r="208" spans="3:171">
      <c r="C208" s="86"/>
      <c r="D208" s="81"/>
      <c r="E208" s="61">
        <v>8</v>
      </c>
      <c r="F208" s="61">
        <v>20</v>
      </c>
      <c r="G208" s="61">
        <v>5</v>
      </c>
      <c r="H208" s="61" t="s">
        <v>4</v>
      </c>
      <c r="I208" s="61">
        <v>11.32372</v>
      </c>
      <c r="J208" s="61">
        <v>0.31765100000000002</v>
      </c>
      <c r="K208" s="61">
        <v>12.00848</v>
      </c>
      <c r="L208" s="62">
        <v>1.9199999999999999E-5</v>
      </c>
      <c r="M208" s="61">
        <v>2.7880000000000001E-3</v>
      </c>
      <c r="N208" s="62">
        <v>0.237287</v>
      </c>
      <c r="O208" s="9"/>
      <c r="P208" s="10"/>
    </row>
    <row r="209" spans="3:16">
      <c r="C209" s="86"/>
      <c r="D209" s="81"/>
      <c r="E209" s="61">
        <v>8</v>
      </c>
      <c r="F209" s="61">
        <v>20</v>
      </c>
      <c r="G209" s="61">
        <v>6</v>
      </c>
      <c r="H209" s="61" t="s">
        <v>5</v>
      </c>
      <c r="I209" s="61">
        <v>10.01749</v>
      </c>
      <c r="J209" s="61">
        <v>0.14016100000000001</v>
      </c>
      <c r="K209" s="61">
        <v>10.84775</v>
      </c>
      <c r="L209" s="62">
        <v>3.9400000000000002E-5</v>
      </c>
      <c r="M209" s="61">
        <v>6.9649999999999998E-3</v>
      </c>
      <c r="N209" s="62">
        <v>0.320465</v>
      </c>
      <c r="O209" s="9"/>
      <c r="P209" s="10"/>
    </row>
    <row r="210" spans="3:16">
      <c r="C210" s="86"/>
      <c r="D210" s="81"/>
      <c r="E210" s="61">
        <v>8</v>
      </c>
      <c r="F210" s="61">
        <v>20</v>
      </c>
      <c r="G210" s="61">
        <v>7</v>
      </c>
      <c r="H210" s="61" t="s">
        <v>6</v>
      </c>
      <c r="I210" s="61">
        <v>16.688099999999999</v>
      </c>
      <c r="J210" s="61">
        <v>0.124102</v>
      </c>
      <c r="K210" s="61">
        <v>6.6176490000000001</v>
      </c>
      <c r="L210" s="62">
        <v>3.6999999999999998E-5</v>
      </c>
      <c r="M210" s="61">
        <v>7.796E-3</v>
      </c>
      <c r="N210" s="62">
        <v>0.191137</v>
      </c>
      <c r="O210" s="9"/>
      <c r="P210" s="10"/>
    </row>
    <row r="211" spans="3:16">
      <c r="C211" s="86"/>
      <c r="D211" s="81"/>
      <c r="E211" s="61">
        <v>8</v>
      </c>
      <c r="F211" s="61">
        <v>20</v>
      </c>
      <c r="G211" s="61">
        <v>8</v>
      </c>
      <c r="H211" s="61" t="s">
        <v>7</v>
      </c>
      <c r="I211" s="61">
        <v>40.170119999999997</v>
      </c>
      <c r="J211" s="61">
        <v>0.10541399999999999</v>
      </c>
      <c r="K211" s="61">
        <v>7.6505289999999997</v>
      </c>
      <c r="L211" s="62">
        <v>1.5500000000000001E-5</v>
      </c>
      <c r="M211" s="61">
        <v>5.45E-3</v>
      </c>
      <c r="N211" s="62">
        <v>7.714E-2</v>
      </c>
      <c r="O211" s="9"/>
      <c r="P211" s="10"/>
    </row>
    <row r="212" spans="3:16">
      <c r="C212" s="86"/>
      <c r="D212" s="81"/>
      <c r="E212" s="61">
        <v>8</v>
      </c>
      <c r="F212" s="61">
        <v>20</v>
      </c>
      <c r="G212" s="61">
        <v>9</v>
      </c>
      <c r="H212" s="61" t="s">
        <v>8</v>
      </c>
      <c r="I212" s="61">
        <v>48.937640000000002</v>
      </c>
      <c r="J212" s="61">
        <v>0.187502</v>
      </c>
      <c r="K212" s="61">
        <v>4.4359229999999998</v>
      </c>
      <c r="L212" s="62">
        <v>-1.0000000000000001E-5</v>
      </c>
      <c r="M212" s="61">
        <v>3.5270000000000002E-3</v>
      </c>
      <c r="N212" s="61">
        <v>6.3380000000000006E-2</v>
      </c>
      <c r="O212" s="9"/>
      <c r="P212" s="10"/>
    </row>
    <row r="213" spans="3:16">
      <c r="C213" s="86"/>
      <c r="D213" s="81"/>
      <c r="E213" s="61">
        <v>8</v>
      </c>
      <c r="F213" s="61">
        <v>20</v>
      </c>
      <c r="G213" s="61">
        <v>10</v>
      </c>
      <c r="H213" s="61" t="s">
        <v>9</v>
      </c>
      <c r="I213" s="61">
        <v>47.036960000000001</v>
      </c>
      <c r="J213" s="61">
        <v>-6.9800000000000001E-3</v>
      </c>
      <c r="K213" s="61">
        <v>8.0446010000000001</v>
      </c>
      <c r="L213" s="62">
        <v>3.3300000000000003E-5</v>
      </c>
      <c r="M213" s="61">
        <v>7.5389999999999997E-3</v>
      </c>
      <c r="N213" s="61">
        <v>6.7528000000000005E-2</v>
      </c>
      <c r="O213" s="65"/>
      <c r="P213" s="10"/>
    </row>
    <row r="214" spans="3:16">
      <c r="C214" s="86"/>
      <c r="D214" s="81"/>
      <c r="E214" s="61">
        <v>8</v>
      </c>
      <c r="F214" s="61">
        <v>20</v>
      </c>
      <c r="G214" s="61">
        <v>11</v>
      </c>
      <c r="H214" s="61" t="s">
        <v>10</v>
      </c>
      <c r="I214" s="61">
        <v>54.51961</v>
      </c>
      <c r="J214" s="61">
        <v>1.6157000000000001E-2</v>
      </c>
      <c r="K214" s="61">
        <v>6.88415</v>
      </c>
      <c r="L214" s="62">
        <v>2.9799999999999999E-5</v>
      </c>
      <c r="M214" s="61">
        <v>6.9589999999999999E-3</v>
      </c>
      <c r="N214" s="61">
        <v>5.6987000000000003E-2</v>
      </c>
      <c r="O214" s="9"/>
      <c r="P214" s="10"/>
    </row>
    <row r="215" spans="3:16">
      <c r="C215" s="86"/>
      <c r="D215" s="81"/>
      <c r="E215" s="61">
        <v>8</v>
      </c>
      <c r="F215" s="61">
        <v>20</v>
      </c>
      <c r="G215" s="61">
        <v>12</v>
      </c>
      <c r="H215" s="61" t="s">
        <v>11</v>
      </c>
      <c r="I215" s="61">
        <v>61.834679999999999</v>
      </c>
      <c r="J215" s="61">
        <v>2.8878999999999998E-2</v>
      </c>
      <c r="K215" s="61">
        <v>5.993544</v>
      </c>
      <c r="L215" s="62">
        <v>2.6699999999999998E-5</v>
      </c>
      <c r="M215" s="61">
        <v>6.8739999999999999E-3</v>
      </c>
      <c r="N215" s="61">
        <v>5.0191E-2</v>
      </c>
      <c r="O215" s="9"/>
      <c r="P215" s="10"/>
    </row>
    <row r="216" spans="3:16">
      <c r="C216" s="86"/>
      <c r="D216" s="81"/>
      <c r="E216" s="61">
        <v>8</v>
      </c>
      <c r="F216" s="61">
        <v>20</v>
      </c>
      <c r="G216" s="61">
        <v>13</v>
      </c>
      <c r="H216" s="61" t="s">
        <v>12</v>
      </c>
      <c r="I216" s="61">
        <v>74.677139999999994</v>
      </c>
      <c r="J216" s="61">
        <v>-7.8710000000000002E-2</v>
      </c>
      <c r="K216" s="61">
        <v>6.2544060000000004</v>
      </c>
      <c r="L216" s="62">
        <v>4.2599999999999999E-5</v>
      </c>
      <c r="M216" s="62">
        <v>7.5669999999999999E-3</v>
      </c>
      <c r="N216" s="61">
        <v>4.2833999999999997E-2</v>
      </c>
      <c r="O216" s="9"/>
      <c r="P216" s="10"/>
    </row>
    <row r="217" spans="3:16">
      <c r="C217" s="86"/>
      <c r="D217" s="81"/>
      <c r="E217" s="61">
        <v>8</v>
      </c>
      <c r="F217" s="61">
        <v>20</v>
      </c>
      <c r="G217" s="61">
        <v>14</v>
      </c>
      <c r="H217" s="61" t="s">
        <v>14</v>
      </c>
      <c r="I217" s="61">
        <v>84.677289999999999</v>
      </c>
      <c r="J217" s="61">
        <v>-7.1800000000000003E-2</v>
      </c>
      <c r="K217" s="61">
        <v>5.5817420000000002</v>
      </c>
      <c r="L217" s="62">
        <v>4.0099999999999999E-5</v>
      </c>
      <c r="M217" s="61">
        <v>7.2009999999999999E-3</v>
      </c>
      <c r="N217" s="61">
        <v>3.7798999999999999E-2</v>
      </c>
      <c r="O217" s="9"/>
      <c r="P217" s="10"/>
    </row>
    <row r="218" spans="3:16">
      <c r="C218" s="86"/>
      <c r="D218" s="81"/>
      <c r="E218" s="61">
        <v>8</v>
      </c>
      <c r="F218" s="61">
        <v>20</v>
      </c>
      <c r="G218" s="61">
        <v>15</v>
      </c>
      <c r="H218" s="61" t="s">
        <v>15</v>
      </c>
      <c r="I218" s="61">
        <v>81.754819999999995</v>
      </c>
      <c r="J218" s="61">
        <v>-7.5209999999999999E-2</v>
      </c>
      <c r="K218" s="61">
        <v>5.8185560000000001</v>
      </c>
      <c r="L218" s="62">
        <v>4.0599999999999998E-5</v>
      </c>
      <c r="M218" s="62">
        <v>7.4739999999999997E-3</v>
      </c>
      <c r="N218" s="61">
        <v>3.9091000000000001E-2</v>
      </c>
      <c r="O218" s="9"/>
      <c r="P218" s="10"/>
    </row>
    <row r="219" spans="3:16">
      <c r="C219" s="86"/>
      <c r="D219" s="81"/>
      <c r="E219" s="61">
        <v>8</v>
      </c>
      <c r="F219" s="61">
        <v>20</v>
      </c>
      <c r="G219" s="61">
        <v>16</v>
      </c>
      <c r="H219" s="61" t="s">
        <v>16</v>
      </c>
      <c r="I219" s="61">
        <v>113.0883</v>
      </c>
      <c r="J219" s="61">
        <v>-0.1502</v>
      </c>
      <c r="K219" s="61">
        <v>4.9354899999999997</v>
      </c>
      <c r="L219" s="62">
        <v>5.7399999999999999E-5</v>
      </c>
      <c r="M219" s="61">
        <v>6.7039999999999999E-3</v>
      </c>
      <c r="N219" s="62">
        <v>2.9219999999999999E-2</v>
      </c>
      <c r="O219" s="9"/>
      <c r="P219" s="10"/>
    </row>
    <row r="220" spans="3:16">
      <c r="C220" s="86"/>
      <c r="D220" s="81"/>
      <c r="E220" s="61">
        <v>8</v>
      </c>
      <c r="F220" s="61">
        <v>20</v>
      </c>
      <c r="G220" s="61">
        <v>17</v>
      </c>
      <c r="H220" s="61" t="s">
        <v>17</v>
      </c>
      <c r="I220" s="61">
        <v>122.907</v>
      </c>
      <c r="J220" s="61">
        <v>-0.15490999999999999</v>
      </c>
      <c r="K220" s="61">
        <v>4.6424390000000004</v>
      </c>
      <c r="L220" s="62">
        <v>5.9200000000000002E-5</v>
      </c>
      <c r="M220" s="61">
        <v>6.5230000000000002E-3</v>
      </c>
      <c r="N220" s="61">
        <v>2.7043000000000001E-2</v>
      </c>
      <c r="O220" s="9"/>
      <c r="P220" s="10"/>
    </row>
    <row r="221" spans="3:16">
      <c r="C221" s="86"/>
      <c r="D221" s="81"/>
      <c r="E221" s="61">
        <v>8</v>
      </c>
      <c r="F221" s="61">
        <v>20</v>
      </c>
      <c r="G221" s="61">
        <v>18</v>
      </c>
      <c r="H221" s="61" t="s">
        <v>18</v>
      </c>
      <c r="I221" s="61">
        <v>139.35400000000001</v>
      </c>
      <c r="J221" s="61">
        <v>-0.24207000000000001</v>
      </c>
      <c r="K221" s="61">
        <v>4.7339770000000003</v>
      </c>
      <c r="L221" s="62">
        <v>9.1000000000000003E-5</v>
      </c>
      <c r="M221" s="61">
        <v>6.9239999999999996E-3</v>
      </c>
      <c r="N221" s="61">
        <v>2.4691000000000001E-2</v>
      </c>
      <c r="O221" s="9"/>
      <c r="P221" s="10"/>
    </row>
    <row r="222" spans="3:16">
      <c r="C222" s="86"/>
      <c r="D222" s="81"/>
      <c r="E222" s="61">
        <v>8</v>
      </c>
      <c r="F222" s="61">
        <v>20</v>
      </c>
      <c r="G222" s="61">
        <v>19</v>
      </c>
      <c r="H222" s="61" t="s">
        <v>19</v>
      </c>
      <c r="I222" s="61">
        <v>155.98060000000001</v>
      </c>
      <c r="J222" s="61">
        <v>-0.31609999999999999</v>
      </c>
      <c r="K222" s="61">
        <v>4.7683280000000003</v>
      </c>
      <c r="L222" s="61">
        <v>1.25E-4</v>
      </c>
      <c r="M222" s="61">
        <v>7.3220000000000004E-3</v>
      </c>
      <c r="N222" s="61">
        <v>2.2700000000000001E-2</v>
      </c>
      <c r="O222" s="9"/>
      <c r="P222" s="10"/>
    </row>
    <row r="223" spans="3:16">
      <c r="C223" s="86"/>
      <c r="D223" s="81"/>
      <c r="E223" s="61">
        <v>8</v>
      </c>
      <c r="F223" s="61">
        <v>20</v>
      </c>
      <c r="G223" s="61">
        <v>20</v>
      </c>
      <c r="H223" s="61" t="s">
        <v>20</v>
      </c>
      <c r="I223" s="61">
        <v>166.0829</v>
      </c>
      <c r="J223" s="61">
        <v>-0.31384000000000001</v>
      </c>
      <c r="K223" s="61">
        <v>4.5324790000000004</v>
      </c>
      <c r="L223" s="61">
        <v>1.27E-4</v>
      </c>
      <c r="M223" s="61">
        <v>7.1799999999999998E-3</v>
      </c>
      <c r="N223" s="61">
        <v>2.1415E-2</v>
      </c>
      <c r="O223" s="9"/>
      <c r="P223" s="10"/>
    </row>
    <row r="224" spans="3:16">
      <c r="C224" s="86"/>
      <c r="D224" s="81"/>
      <c r="E224" s="63"/>
      <c r="F224" s="64"/>
      <c r="G224" s="64"/>
      <c r="H224" s="64"/>
      <c r="I224" s="64"/>
      <c r="J224" s="64"/>
      <c r="K224" s="64"/>
      <c r="L224" s="64"/>
      <c r="M224" s="64"/>
      <c r="N224" s="64"/>
      <c r="O224" s="9"/>
      <c r="P224" s="10"/>
    </row>
    <row r="225" spans="3:16">
      <c r="C225" s="86"/>
      <c r="D225" s="81"/>
      <c r="E225" s="22" t="s">
        <v>21</v>
      </c>
      <c r="F225" s="22" t="s">
        <v>86</v>
      </c>
      <c r="G225" s="22"/>
      <c r="H225" s="22" t="s">
        <v>13</v>
      </c>
      <c r="I225" s="22" t="s">
        <v>85</v>
      </c>
      <c r="J225" s="22" t="s">
        <v>28</v>
      </c>
      <c r="K225" s="22" t="s">
        <v>29</v>
      </c>
      <c r="L225" s="22" t="s">
        <v>30</v>
      </c>
      <c r="M225" s="22" t="s">
        <v>31</v>
      </c>
      <c r="N225" s="22" t="s">
        <v>32</v>
      </c>
      <c r="O225" s="9"/>
      <c r="P225" s="10"/>
    </row>
    <row r="226" spans="3:16">
      <c r="C226" s="86"/>
      <c r="D226" s="81"/>
      <c r="E226" s="61">
        <v>8</v>
      </c>
      <c r="F226" s="61">
        <v>120</v>
      </c>
      <c r="G226" s="61">
        <v>1</v>
      </c>
      <c r="H226" s="61" t="s">
        <v>0</v>
      </c>
      <c r="I226" s="61">
        <v>6.8435030000000001</v>
      </c>
      <c r="J226" s="61">
        <v>0.31118699999999999</v>
      </c>
      <c r="K226" s="61">
        <v>11.221080000000001</v>
      </c>
      <c r="L226" s="62">
        <v>4.6300000000000001E-5</v>
      </c>
      <c r="M226" s="61">
        <v>3.3549999999999999E-3</v>
      </c>
      <c r="N226" s="61">
        <v>0.45123000000000002</v>
      </c>
      <c r="O226" s="9"/>
      <c r="P226" s="10"/>
    </row>
    <row r="227" spans="3:16">
      <c r="C227" s="86"/>
      <c r="D227" s="81"/>
      <c r="E227" s="61">
        <v>8</v>
      </c>
      <c r="F227" s="61">
        <v>120</v>
      </c>
      <c r="G227" s="61">
        <v>2</v>
      </c>
      <c r="H227" s="61" t="s">
        <v>1</v>
      </c>
      <c r="I227" s="61">
        <v>8.3990349999999996</v>
      </c>
      <c r="J227" s="61">
        <v>0.293159</v>
      </c>
      <c r="K227" s="61">
        <v>12.65611</v>
      </c>
      <c r="L227" s="62">
        <v>3.54E-5</v>
      </c>
      <c r="M227" s="61">
        <v>2.5969999999999999E-3</v>
      </c>
      <c r="N227" s="61">
        <v>0.39161000000000001</v>
      </c>
      <c r="O227" s="9"/>
      <c r="P227" s="10"/>
    </row>
    <row r="228" spans="3:16">
      <c r="C228" s="86"/>
      <c r="D228" s="81"/>
      <c r="E228" s="61">
        <v>8</v>
      </c>
      <c r="F228" s="61">
        <v>120</v>
      </c>
      <c r="G228" s="61">
        <v>3</v>
      </c>
      <c r="H228" s="61" t="s">
        <v>2</v>
      </c>
      <c r="I228" s="61">
        <v>10.498379999999999</v>
      </c>
      <c r="J228" s="61">
        <v>0.32394400000000001</v>
      </c>
      <c r="K228" s="61">
        <v>13.82907</v>
      </c>
      <c r="L228" s="62">
        <v>3.2400000000000001E-5</v>
      </c>
      <c r="M228" s="61">
        <v>1.838E-3</v>
      </c>
      <c r="N228" s="61">
        <v>0.28905900000000001</v>
      </c>
      <c r="O228" s="9"/>
      <c r="P228" s="10"/>
    </row>
    <row r="229" spans="3:16">
      <c r="C229" s="86"/>
      <c r="D229" s="81"/>
      <c r="E229" s="61">
        <v>8</v>
      </c>
      <c r="F229" s="61">
        <v>120</v>
      </c>
      <c r="G229" s="61">
        <v>4</v>
      </c>
      <c r="H229" s="61" t="s">
        <v>3</v>
      </c>
      <c r="I229" s="61">
        <v>9.7350650000000005</v>
      </c>
      <c r="J229" s="61">
        <v>0.28858</v>
      </c>
      <c r="K229" s="61">
        <v>11.04339</v>
      </c>
      <c r="L229" s="62">
        <v>5.9399999999999999E-6</v>
      </c>
      <c r="M229" s="61">
        <v>3.3570000000000002E-3</v>
      </c>
      <c r="N229" s="61">
        <v>0.39515600000000001</v>
      </c>
      <c r="O229" s="9"/>
      <c r="P229" s="10"/>
    </row>
    <row r="230" spans="3:16">
      <c r="C230" s="86"/>
      <c r="D230" s="81"/>
      <c r="E230" s="61">
        <v>8</v>
      </c>
      <c r="F230" s="61">
        <v>120</v>
      </c>
      <c r="G230" s="61">
        <v>5</v>
      </c>
      <c r="H230" s="61" t="s">
        <v>4</v>
      </c>
      <c r="I230" s="61">
        <v>11.339320000000001</v>
      </c>
      <c r="J230" s="61">
        <v>0.32058599999999998</v>
      </c>
      <c r="K230" s="61">
        <v>11.74431</v>
      </c>
      <c r="L230" s="62">
        <v>1.8300000000000001E-5</v>
      </c>
      <c r="M230" s="61">
        <v>2.5739999999999999E-3</v>
      </c>
      <c r="N230" s="61">
        <v>0.24014199999999999</v>
      </c>
      <c r="O230" s="9"/>
      <c r="P230" s="10"/>
    </row>
    <row r="231" spans="3:16">
      <c r="C231" s="86"/>
      <c r="D231" s="81"/>
      <c r="E231" s="61">
        <v>8</v>
      </c>
      <c r="F231" s="61">
        <v>120</v>
      </c>
      <c r="G231" s="61">
        <v>6</v>
      </c>
      <c r="H231" s="61" t="s">
        <v>5</v>
      </c>
      <c r="I231" s="61">
        <v>10.02026</v>
      </c>
      <c r="J231" s="61">
        <v>0.18442500000000001</v>
      </c>
      <c r="K231" s="61">
        <v>9.926024</v>
      </c>
      <c r="L231" s="62">
        <v>3.1000000000000001E-5</v>
      </c>
      <c r="M231" s="61">
        <v>6.5719999999999997E-3</v>
      </c>
      <c r="N231" s="61">
        <v>0.32035400000000003</v>
      </c>
      <c r="O231" s="9"/>
      <c r="P231" s="10"/>
    </row>
    <row r="232" spans="3:16">
      <c r="C232" s="86"/>
      <c r="D232" s="81"/>
      <c r="E232" s="61">
        <v>8</v>
      </c>
      <c r="F232" s="61">
        <v>120</v>
      </c>
      <c r="G232" s="61">
        <v>7</v>
      </c>
      <c r="H232" s="61" t="s">
        <v>6</v>
      </c>
      <c r="I232" s="61">
        <v>16.689979999999998</v>
      </c>
      <c r="J232" s="61">
        <v>0.147204</v>
      </c>
      <c r="K232" s="61">
        <v>6.1552809999999996</v>
      </c>
      <c r="L232" s="62">
        <v>3.4100000000000002E-5</v>
      </c>
      <c r="M232" s="61">
        <v>7.4089999999999998E-3</v>
      </c>
      <c r="N232" s="61">
        <v>0.190969</v>
      </c>
      <c r="O232" s="9"/>
      <c r="P232" s="10"/>
    </row>
    <row r="233" spans="3:16">
      <c r="C233" s="86"/>
      <c r="D233" s="81"/>
      <c r="E233" s="61">
        <v>8</v>
      </c>
      <c r="F233" s="61">
        <v>120</v>
      </c>
      <c r="G233" s="61">
        <v>8</v>
      </c>
      <c r="H233" s="61" t="s">
        <v>7</v>
      </c>
      <c r="I233" s="61">
        <v>40.342500000000001</v>
      </c>
      <c r="J233" s="61">
        <v>0.100147</v>
      </c>
      <c r="K233" s="61">
        <v>7.6739810000000004</v>
      </c>
      <c r="L233" s="62">
        <v>1.7099999999999999E-5</v>
      </c>
      <c r="M233" s="61">
        <v>5.3379999999999999E-3</v>
      </c>
      <c r="N233" s="61">
        <v>7.6906000000000002E-2</v>
      </c>
      <c r="O233" s="9"/>
      <c r="P233" s="10"/>
    </row>
    <row r="234" spans="3:16">
      <c r="C234" s="86"/>
      <c r="D234" s="81"/>
      <c r="E234" s="61">
        <v>8</v>
      </c>
      <c r="F234" s="61">
        <v>120</v>
      </c>
      <c r="G234" s="61">
        <v>9</v>
      </c>
      <c r="H234" s="61" t="s">
        <v>8</v>
      </c>
      <c r="I234" s="61">
        <v>49.120719999999999</v>
      </c>
      <c r="J234" s="61">
        <v>0.18679999999999999</v>
      </c>
      <c r="K234" s="61">
        <v>4.4062840000000003</v>
      </c>
      <c r="L234" s="62">
        <v>-9.9000000000000001E-6</v>
      </c>
      <c r="M234" s="61">
        <v>3.4859999999999999E-3</v>
      </c>
      <c r="N234" s="61">
        <v>6.3175999999999996E-2</v>
      </c>
      <c r="O234" s="9"/>
      <c r="P234" s="10"/>
    </row>
    <row r="235" spans="3:16">
      <c r="C235" s="86"/>
      <c r="D235" s="81"/>
      <c r="E235" s="61">
        <v>8</v>
      </c>
      <c r="F235" s="61">
        <v>120</v>
      </c>
      <c r="G235" s="61">
        <v>10</v>
      </c>
      <c r="H235" s="61" t="s">
        <v>9</v>
      </c>
      <c r="I235" s="61">
        <v>47.46922</v>
      </c>
      <c r="J235" s="61">
        <v>-1.7389999999999999E-2</v>
      </c>
      <c r="K235" s="61">
        <v>8.0522589999999994</v>
      </c>
      <c r="L235" s="62">
        <v>3.82E-5</v>
      </c>
      <c r="M235" s="61">
        <v>7.2329999999999998E-3</v>
      </c>
      <c r="N235" s="61">
        <v>6.7104999999999998E-2</v>
      </c>
      <c r="O235" s="9"/>
      <c r="P235" s="10"/>
    </row>
    <row r="236" spans="3:16">
      <c r="C236" s="86"/>
      <c r="D236" s="81"/>
      <c r="E236" s="61">
        <v>8</v>
      </c>
      <c r="F236" s="61">
        <v>120</v>
      </c>
      <c r="G236" s="61">
        <v>11</v>
      </c>
      <c r="H236" s="61" t="s">
        <v>10</v>
      </c>
      <c r="I236" s="61">
        <v>55.073500000000003</v>
      </c>
      <c r="J236" s="61">
        <v>-2.8E-3</v>
      </c>
      <c r="K236" s="61">
        <v>7.0419239999999999</v>
      </c>
      <c r="L236" s="62">
        <v>3.6600000000000002E-5</v>
      </c>
      <c r="M236" s="61">
        <v>6.6270000000000001E-3</v>
      </c>
      <c r="N236" s="61">
        <v>5.6602E-2</v>
      </c>
      <c r="O236" s="9"/>
      <c r="P236" s="10"/>
    </row>
    <row r="237" spans="3:16">
      <c r="C237" s="86"/>
      <c r="D237" s="81"/>
      <c r="E237" s="61">
        <v>8</v>
      </c>
      <c r="F237" s="61">
        <v>120</v>
      </c>
      <c r="G237" s="61">
        <v>12</v>
      </c>
      <c r="H237" s="61" t="s">
        <v>11</v>
      </c>
      <c r="I237" s="61">
        <v>62.417720000000003</v>
      </c>
      <c r="J237" s="61">
        <v>8.6960000000000006E-3</v>
      </c>
      <c r="K237" s="61">
        <v>6.1887809999999996</v>
      </c>
      <c r="L237" s="62">
        <v>3.3500000000000001E-5</v>
      </c>
      <c r="M237" s="61">
        <v>6.5669999999999999E-3</v>
      </c>
      <c r="N237" s="61">
        <v>4.9896000000000003E-2</v>
      </c>
      <c r="O237" s="9"/>
      <c r="P237" s="10"/>
    </row>
    <row r="238" spans="3:16">
      <c r="C238" s="86"/>
      <c r="D238" s="81"/>
      <c r="E238" s="61">
        <v>8</v>
      </c>
      <c r="F238" s="61">
        <v>120</v>
      </c>
      <c r="G238" s="61">
        <v>13</v>
      </c>
      <c r="H238" s="61" t="s">
        <v>12</v>
      </c>
      <c r="I238" s="61">
        <v>75.345479999999995</v>
      </c>
      <c r="J238" s="61">
        <v>-0.10247000000000001</v>
      </c>
      <c r="K238" s="61">
        <v>6.5085119999999996</v>
      </c>
      <c r="L238" s="62">
        <v>5.2299999999999997E-5</v>
      </c>
      <c r="M238" s="61">
        <v>7.2810000000000001E-3</v>
      </c>
      <c r="N238" s="61">
        <v>4.2576999999999997E-2</v>
      </c>
      <c r="O238" s="9"/>
      <c r="P238" s="10"/>
    </row>
    <row r="239" spans="3:16">
      <c r="C239" s="86"/>
      <c r="D239" s="81"/>
      <c r="E239" s="61">
        <v>8</v>
      </c>
      <c r="F239" s="61">
        <v>120</v>
      </c>
      <c r="G239" s="61">
        <v>14</v>
      </c>
      <c r="H239" s="61" t="s">
        <v>14</v>
      </c>
      <c r="I239" s="61">
        <v>85.343170000000001</v>
      </c>
      <c r="J239" s="61">
        <v>-9.4729999999999995E-2</v>
      </c>
      <c r="K239" s="61">
        <v>5.8342999999999998</v>
      </c>
      <c r="L239" s="62">
        <v>4.9499999999999997E-5</v>
      </c>
      <c r="M239" s="61">
        <v>6.9509999999999997E-3</v>
      </c>
      <c r="N239" s="61">
        <v>3.7615999999999997E-2</v>
      </c>
      <c r="O239" s="9"/>
      <c r="P239" s="10"/>
    </row>
    <row r="240" spans="3:16">
      <c r="C240" s="86"/>
      <c r="D240" s="81"/>
      <c r="E240" s="61">
        <v>8</v>
      </c>
      <c r="F240" s="61">
        <v>120</v>
      </c>
      <c r="G240" s="61">
        <v>15</v>
      </c>
      <c r="H240" s="61" t="s">
        <v>15</v>
      </c>
      <c r="I240" s="61">
        <v>82.427210000000002</v>
      </c>
      <c r="J240" s="61">
        <v>-9.9820000000000006E-2</v>
      </c>
      <c r="K240" s="61">
        <v>6.098776</v>
      </c>
      <c r="L240" s="62">
        <v>5.02E-5</v>
      </c>
      <c r="M240" s="61">
        <v>7.1999999999999998E-3</v>
      </c>
      <c r="N240" s="61">
        <v>3.8886999999999998E-2</v>
      </c>
      <c r="O240" s="9"/>
      <c r="P240" s="10"/>
    </row>
    <row r="241" spans="3:16">
      <c r="C241" s="86"/>
      <c r="D241" s="81"/>
      <c r="E241" s="61">
        <v>8</v>
      </c>
      <c r="F241" s="61">
        <v>120</v>
      </c>
      <c r="G241" s="61">
        <v>16</v>
      </c>
      <c r="H241" s="61" t="s">
        <v>16</v>
      </c>
      <c r="I241" s="61">
        <v>113.7469</v>
      </c>
      <c r="J241" s="61">
        <v>-0.17015</v>
      </c>
      <c r="K241" s="61">
        <v>5.1418460000000001</v>
      </c>
      <c r="L241" s="62">
        <v>6.8100000000000002E-5</v>
      </c>
      <c r="M241" s="61">
        <v>6.5250000000000004E-3</v>
      </c>
      <c r="N241" s="61">
        <v>2.9121999999999999E-2</v>
      </c>
      <c r="O241" s="9"/>
      <c r="P241" s="10"/>
    </row>
    <row r="242" spans="3:16">
      <c r="C242" s="86"/>
      <c r="D242" s="81"/>
      <c r="E242" s="61">
        <v>8</v>
      </c>
      <c r="F242" s="61">
        <v>120</v>
      </c>
      <c r="G242" s="61">
        <v>17</v>
      </c>
      <c r="H242" s="61" t="s">
        <v>17</v>
      </c>
      <c r="I242" s="61">
        <v>123.56570000000001</v>
      </c>
      <c r="J242" s="61">
        <v>-0.17388999999999999</v>
      </c>
      <c r="K242" s="61">
        <v>4.8352589999999998</v>
      </c>
      <c r="L242" s="62">
        <v>6.9900000000000005E-5</v>
      </c>
      <c r="M242" s="61">
        <v>6.3639999999999999E-3</v>
      </c>
      <c r="N242" s="61">
        <v>2.6963999999999998E-2</v>
      </c>
      <c r="O242" s="9"/>
      <c r="P242" s="10"/>
    </row>
    <row r="243" spans="3:16">
      <c r="C243" s="86"/>
      <c r="D243" s="81"/>
      <c r="E243" s="61">
        <v>8</v>
      </c>
      <c r="F243" s="61">
        <v>120</v>
      </c>
      <c r="G243" s="61">
        <v>18</v>
      </c>
      <c r="H243" s="61" t="s">
        <v>18</v>
      </c>
      <c r="I243" s="61">
        <v>140.0128</v>
      </c>
      <c r="J243" s="61">
        <v>-0.26079999999999998</v>
      </c>
      <c r="K243" s="61">
        <v>4.9095810000000002</v>
      </c>
      <c r="L243" s="61">
        <v>1.0399999999999999E-4</v>
      </c>
      <c r="M243" s="61">
        <v>6.7720000000000002E-3</v>
      </c>
      <c r="N243" s="61">
        <v>2.4625000000000001E-2</v>
      </c>
      <c r="O243" s="9"/>
      <c r="P243" s="10"/>
    </row>
    <row r="244" spans="3:16">
      <c r="C244" s="86"/>
      <c r="D244" s="81"/>
      <c r="E244" s="61">
        <v>8</v>
      </c>
      <c r="F244" s="61">
        <v>120</v>
      </c>
      <c r="G244" s="61">
        <v>19</v>
      </c>
      <c r="H244" s="61" t="s">
        <v>19</v>
      </c>
      <c r="I244" s="61">
        <v>156.6395</v>
      </c>
      <c r="J244" s="61">
        <v>-0.33522999999999997</v>
      </c>
      <c r="K244" s="61">
        <v>4.9360939999999998</v>
      </c>
      <c r="L244" s="61">
        <v>1.4100000000000001E-4</v>
      </c>
      <c r="M244" s="61">
        <v>7.1739999999999998E-3</v>
      </c>
      <c r="N244" s="61">
        <v>2.2648000000000001E-2</v>
      </c>
      <c r="O244" s="9"/>
      <c r="P244" s="10"/>
    </row>
    <row r="245" spans="3:16">
      <c r="C245" s="86"/>
      <c r="D245" s="81"/>
      <c r="E245" s="61">
        <v>8</v>
      </c>
      <c r="F245" s="61">
        <v>120</v>
      </c>
      <c r="G245" s="61">
        <v>20</v>
      </c>
      <c r="H245" s="61" t="s">
        <v>20</v>
      </c>
      <c r="I245" s="61">
        <v>166.74180000000001</v>
      </c>
      <c r="J245" s="61">
        <v>-0.33245999999999998</v>
      </c>
      <c r="K245" s="61">
        <v>4.6922490000000003</v>
      </c>
      <c r="L245" s="61">
        <v>1.44E-4</v>
      </c>
      <c r="M245" s="61">
        <v>7.0429999999999998E-3</v>
      </c>
      <c r="N245" s="61">
        <v>2.1373E-2</v>
      </c>
      <c r="O245" s="9"/>
      <c r="P245" s="10"/>
    </row>
    <row r="246" spans="3:16">
      <c r="C246" s="86"/>
      <c r="D246" s="81"/>
      <c r="E246" s="63"/>
      <c r="F246" s="64"/>
      <c r="G246" s="64"/>
      <c r="H246" s="64"/>
      <c r="I246" s="64"/>
      <c r="J246" s="64"/>
      <c r="K246" s="64"/>
      <c r="L246" s="64"/>
      <c r="M246" s="64"/>
      <c r="N246" s="64"/>
      <c r="O246" s="9"/>
      <c r="P246" s="10"/>
    </row>
    <row r="247" spans="3:16">
      <c r="C247" s="86"/>
      <c r="D247" s="81"/>
      <c r="E247" s="22" t="s">
        <v>21</v>
      </c>
      <c r="F247" s="22" t="s">
        <v>86</v>
      </c>
      <c r="G247" s="22"/>
      <c r="H247" s="22" t="s">
        <v>13</v>
      </c>
      <c r="I247" s="22" t="s">
        <v>85</v>
      </c>
      <c r="J247" s="22" t="s">
        <v>28</v>
      </c>
      <c r="K247" s="22" t="s">
        <v>29</v>
      </c>
      <c r="L247" s="22" t="s">
        <v>30</v>
      </c>
      <c r="M247" s="22" t="s">
        <v>31</v>
      </c>
      <c r="N247" s="22" t="s">
        <v>32</v>
      </c>
      <c r="O247" s="9"/>
      <c r="P247" s="10"/>
    </row>
    <row r="248" spans="3:16">
      <c r="C248" s="86"/>
      <c r="D248" s="81"/>
      <c r="E248" s="61">
        <v>8</v>
      </c>
      <c r="F248" s="61">
        <v>300</v>
      </c>
      <c r="G248" s="61">
        <v>1</v>
      </c>
      <c r="H248" s="61" t="s">
        <v>0</v>
      </c>
      <c r="I248" s="61">
        <v>6.8506330000000002</v>
      </c>
      <c r="J248" s="61">
        <v>0.30270900000000001</v>
      </c>
      <c r="K248" s="61">
        <v>10.628080000000001</v>
      </c>
      <c r="L248" s="62">
        <v>4.5399999999999999E-5</v>
      </c>
      <c r="M248" s="61">
        <v>3.0469999999999998E-3</v>
      </c>
      <c r="N248" s="61">
        <v>0.48111799999999999</v>
      </c>
      <c r="O248" s="9"/>
      <c r="P248" s="10"/>
    </row>
    <row r="249" spans="3:16">
      <c r="C249" s="86"/>
      <c r="D249" s="81"/>
      <c r="E249" s="61">
        <v>8</v>
      </c>
      <c r="F249" s="61">
        <v>300</v>
      </c>
      <c r="G249" s="61">
        <v>2</v>
      </c>
      <c r="H249" s="61" t="s">
        <v>1</v>
      </c>
      <c r="I249" s="61">
        <v>8.4278809999999993</v>
      </c>
      <c r="J249" s="61">
        <v>0.27459800000000001</v>
      </c>
      <c r="K249" s="61">
        <v>12.09516</v>
      </c>
      <c r="L249" s="62">
        <v>3.5099999999999999E-5</v>
      </c>
      <c r="M249" s="61">
        <v>2.2929999999999999E-3</v>
      </c>
      <c r="N249" s="61">
        <v>0.42088799999999998</v>
      </c>
      <c r="O249" s="9"/>
      <c r="P249" s="10"/>
    </row>
    <row r="250" spans="3:16">
      <c r="C250" s="86"/>
      <c r="D250" s="81"/>
      <c r="E250" s="61">
        <v>8</v>
      </c>
      <c r="F250" s="61">
        <v>300</v>
      </c>
      <c r="G250" s="61">
        <v>3</v>
      </c>
      <c r="H250" s="61" t="s">
        <v>2</v>
      </c>
      <c r="I250" s="61">
        <v>10.55836</v>
      </c>
      <c r="J250" s="61">
        <v>0.312025</v>
      </c>
      <c r="K250" s="61">
        <v>13.286759999999999</v>
      </c>
      <c r="L250" s="62">
        <v>3.3000000000000003E-5</v>
      </c>
      <c r="M250" s="61">
        <v>1.5020000000000001E-3</v>
      </c>
      <c r="N250" s="61">
        <v>0.30694399999999999</v>
      </c>
      <c r="O250" s="9"/>
      <c r="P250" s="10"/>
    </row>
    <row r="251" spans="3:16">
      <c r="C251" s="86"/>
      <c r="D251" s="81"/>
      <c r="E251" s="61">
        <v>8</v>
      </c>
      <c r="F251" s="61">
        <v>300</v>
      </c>
      <c r="G251" s="61">
        <v>4</v>
      </c>
      <c r="H251" s="61" t="s">
        <v>3</v>
      </c>
      <c r="I251" s="61">
        <v>9.8956389999999992</v>
      </c>
      <c r="J251" s="61">
        <v>0.26658300000000001</v>
      </c>
      <c r="K251" s="61">
        <v>10.91513</v>
      </c>
      <c r="L251" s="62">
        <v>9.9899999999999992E-6</v>
      </c>
      <c r="M251" s="61">
        <v>3.0179999999999998E-3</v>
      </c>
      <c r="N251" s="61">
        <v>0.39621299999999998</v>
      </c>
      <c r="O251" s="9"/>
      <c r="P251" s="10"/>
    </row>
    <row r="252" spans="3:16">
      <c r="C252" s="86"/>
      <c r="D252" s="81"/>
      <c r="E252" s="61">
        <v>8</v>
      </c>
      <c r="F252" s="61">
        <v>300</v>
      </c>
      <c r="G252" s="61">
        <v>5</v>
      </c>
      <c r="H252" s="61" t="s">
        <v>4</v>
      </c>
      <c r="I252" s="61">
        <v>11.461819999999999</v>
      </c>
      <c r="J252" s="61">
        <v>0.29547400000000001</v>
      </c>
      <c r="K252" s="61">
        <v>11.425599999999999</v>
      </c>
      <c r="L252" s="62">
        <v>2.1999999999999999E-5</v>
      </c>
      <c r="M252" s="61">
        <v>2.062E-3</v>
      </c>
      <c r="N252" s="61">
        <v>0.249415</v>
      </c>
      <c r="O252" s="9"/>
      <c r="P252" s="10"/>
    </row>
    <row r="253" spans="3:16">
      <c r="C253" s="86"/>
      <c r="D253" s="81"/>
      <c r="E253" s="61">
        <v>8</v>
      </c>
      <c r="F253" s="61">
        <v>300</v>
      </c>
      <c r="G253" s="61">
        <v>6</v>
      </c>
      <c r="H253" s="61" t="s">
        <v>5</v>
      </c>
      <c r="I253" s="61">
        <v>10.05607</v>
      </c>
      <c r="J253" s="61">
        <v>0.23205200000000001</v>
      </c>
      <c r="K253" s="61">
        <v>8.8295060000000003</v>
      </c>
      <c r="L253" s="62">
        <v>2.2799999999999999E-5</v>
      </c>
      <c r="M253" s="61">
        <v>6.1050000000000002E-3</v>
      </c>
      <c r="N253" s="61">
        <v>0.31983499999999998</v>
      </c>
      <c r="O253" s="9"/>
      <c r="P253" s="10"/>
    </row>
    <row r="254" spans="3:16">
      <c r="C254" s="86"/>
      <c r="D254" s="81"/>
      <c r="E254" s="61">
        <v>8</v>
      </c>
      <c r="F254" s="61">
        <v>300</v>
      </c>
      <c r="G254" s="61">
        <v>7</v>
      </c>
      <c r="H254" s="61" t="s">
        <v>6</v>
      </c>
      <c r="I254" s="61">
        <v>16.730869999999999</v>
      </c>
      <c r="J254" s="61">
        <v>0.16614699999999999</v>
      </c>
      <c r="K254" s="61">
        <v>5.6808100000000001</v>
      </c>
      <c r="L254" s="62">
        <v>3.5599999999999998E-5</v>
      </c>
      <c r="M254" s="61">
        <v>6.8329999999999997E-3</v>
      </c>
      <c r="N254" s="61">
        <v>0.19057099999999999</v>
      </c>
      <c r="O254" s="9"/>
      <c r="P254" s="10"/>
    </row>
    <row r="255" spans="3:16">
      <c r="C255" s="86"/>
      <c r="D255" s="81"/>
      <c r="E255" s="61">
        <v>8</v>
      </c>
      <c r="F255" s="61">
        <v>300</v>
      </c>
      <c r="G255" s="61">
        <v>8</v>
      </c>
      <c r="H255" s="61" t="s">
        <v>7</v>
      </c>
      <c r="I255" s="61">
        <v>41.135440000000003</v>
      </c>
      <c r="J255" s="61">
        <v>7.6169000000000001E-2</v>
      </c>
      <c r="K255" s="61">
        <v>7.8277070000000002</v>
      </c>
      <c r="L255" s="62">
        <v>2.5700000000000001E-5</v>
      </c>
      <c r="M255" s="61">
        <v>4.9680000000000002E-3</v>
      </c>
      <c r="N255" s="61">
        <v>7.5699000000000002E-2</v>
      </c>
      <c r="O255" s="9"/>
      <c r="P255" s="10"/>
    </row>
    <row r="256" spans="3:16">
      <c r="C256" s="86"/>
      <c r="D256" s="81"/>
      <c r="E256" s="61">
        <v>8</v>
      </c>
      <c r="F256" s="61">
        <v>300</v>
      </c>
      <c r="G256" s="61">
        <v>9</v>
      </c>
      <c r="H256" s="61" t="s">
        <v>8</v>
      </c>
      <c r="I256" s="61">
        <v>49.880760000000002</v>
      </c>
      <c r="J256" s="61">
        <v>0.18179300000000001</v>
      </c>
      <c r="K256" s="61">
        <v>4.3668170000000002</v>
      </c>
      <c r="L256" s="62">
        <v>-7.1999999999999997E-6</v>
      </c>
      <c r="M256" s="61">
        <v>3.3670000000000002E-3</v>
      </c>
      <c r="N256" s="61">
        <v>6.2193999999999999E-2</v>
      </c>
      <c r="O256" s="9"/>
      <c r="P256" s="10"/>
    </row>
    <row r="257" spans="3:16">
      <c r="C257" s="86"/>
      <c r="D257" s="81"/>
      <c r="E257" s="61">
        <v>8</v>
      </c>
      <c r="F257" s="61">
        <v>300</v>
      </c>
      <c r="G257" s="61">
        <v>10</v>
      </c>
      <c r="H257" s="61" t="s">
        <v>9</v>
      </c>
      <c r="I257" s="61">
        <v>48.288240000000002</v>
      </c>
      <c r="J257" s="61">
        <v>-4.1300000000000003E-2</v>
      </c>
      <c r="K257" s="61">
        <v>8.1631070000000001</v>
      </c>
      <c r="L257" s="62">
        <v>5.0800000000000002E-5</v>
      </c>
      <c r="M257" s="61">
        <v>6.7450000000000001E-3</v>
      </c>
      <c r="N257" s="61">
        <v>6.6271999999999998E-2</v>
      </c>
      <c r="O257" s="9"/>
      <c r="P257" s="10"/>
    </row>
    <row r="258" spans="3:16">
      <c r="C258" s="86"/>
      <c r="D258" s="81"/>
      <c r="E258" s="61">
        <v>8</v>
      </c>
      <c r="F258" s="61">
        <v>300</v>
      </c>
      <c r="G258" s="61">
        <v>11</v>
      </c>
      <c r="H258" s="61" t="s">
        <v>10</v>
      </c>
      <c r="I258" s="61">
        <v>56.023330000000001</v>
      </c>
      <c r="J258" s="61">
        <v>-3.7870000000000001E-2</v>
      </c>
      <c r="K258" s="61">
        <v>7.3792</v>
      </c>
      <c r="L258" s="62">
        <v>5.1900000000000001E-5</v>
      </c>
      <c r="M258" s="61">
        <v>6.1139999999999996E-3</v>
      </c>
      <c r="N258" s="61">
        <v>5.5904000000000002E-2</v>
      </c>
      <c r="O258" s="9"/>
      <c r="P258" s="10"/>
    </row>
    <row r="259" spans="3:16">
      <c r="C259" s="86"/>
      <c r="D259" s="81"/>
      <c r="E259" s="61">
        <v>8</v>
      </c>
      <c r="F259" s="61">
        <v>300</v>
      </c>
      <c r="G259" s="61">
        <v>12</v>
      </c>
      <c r="H259" s="61" t="s">
        <v>11</v>
      </c>
      <c r="I259" s="61">
        <v>63.403289999999998</v>
      </c>
      <c r="J259" s="61">
        <v>-2.7869999999999999E-2</v>
      </c>
      <c r="K259" s="61">
        <v>6.5842840000000002</v>
      </c>
      <c r="L259" s="62">
        <v>4.8699999999999998E-5</v>
      </c>
      <c r="M259" s="61">
        <v>6.0920000000000002E-3</v>
      </c>
      <c r="N259" s="61">
        <v>4.9354000000000002E-2</v>
      </c>
      <c r="O259" s="9"/>
      <c r="P259" s="10"/>
    </row>
    <row r="260" spans="3:16">
      <c r="C260" s="86"/>
      <c r="D260" s="81"/>
      <c r="E260" s="61">
        <v>8</v>
      </c>
      <c r="F260" s="61">
        <v>300</v>
      </c>
      <c r="G260" s="61">
        <v>13</v>
      </c>
      <c r="H260" s="61" t="s">
        <v>12</v>
      </c>
      <c r="I260" s="61">
        <v>76.320080000000004</v>
      </c>
      <c r="J260" s="61">
        <v>-0.13647000000000001</v>
      </c>
      <c r="K260" s="61">
        <v>6.8788780000000003</v>
      </c>
      <c r="L260" s="62">
        <v>6.9300000000000004E-5</v>
      </c>
      <c r="M260" s="61">
        <v>6.862E-3</v>
      </c>
      <c r="N260" s="61">
        <v>4.2179000000000001E-2</v>
      </c>
      <c r="O260" s="9"/>
      <c r="P260" s="10"/>
    </row>
    <row r="261" spans="3:16">
      <c r="C261" s="86"/>
      <c r="D261" s="81"/>
      <c r="E261" s="61">
        <v>8</v>
      </c>
      <c r="F261" s="61">
        <v>300</v>
      </c>
      <c r="G261" s="61">
        <v>14</v>
      </c>
      <c r="H261" s="61" t="s">
        <v>14</v>
      </c>
      <c r="I261" s="61">
        <v>86.307050000000004</v>
      </c>
      <c r="J261" s="61">
        <v>-0.12781999999999999</v>
      </c>
      <c r="K261" s="61">
        <v>6.2073200000000002</v>
      </c>
      <c r="L261" s="62">
        <v>6.58E-5</v>
      </c>
      <c r="M261" s="61">
        <v>6.5820000000000002E-3</v>
      </c>
      <c r="N261" s="61">
        <v>3.7328E-2</v>
      </c>
      <c r="O261" s="9"/>
      <c r="P261" s="10"/>
    </row>
    <row r="262" spans="3:16">
      <c r="C262" s="86"/>
      <c r="D262" s="81"/>
      <c r="E262" s="61">
        <v>8</v>
      </c>
      <c r="F262" s="61">
        <v>300</v>
      </c>
      <c r="G262" s="61">
        <v>15</v>
      </c>
      <c r="H262" s="61" t="s">
        <v>15</v>
      </c>
      <c r="I262" s="61">
        <v>83.459609999999998</v>
      </c>
      <c r="J262" s="61">
        <v>-0.13599</v>
      </c>
      <c r="K262" s="61">
        <v>6.5192410000000001</v>
      </c>
      <c r="L262" s="62">
        <v>6.7600000000000003E-5</v>
      </c>
      <c r="M262" s="61">
        <v>6.7930000000000004E-3</v>
      </c>
      <c r="N262" s="61">
        <v>3.8540999999999999E-2</v>
      </c>
      <c r="O262" s="9"/>
      <c r="P262" s="10"/>
    </row>
    <row r="263" spans="3:16">
      <c r="C263" s="86"/>
      <c r="D263" s="81"/>
      <c r="E263" s="61">
        <v>8</v>
      </c>
      <c r="F263" s="61">
        <v>300</v>
      </c>
      <c r="G263" s="61">
        <v>16</v>
      </c>
      <c r="H263" s="61" t="s">
        <v>16</v>
      </c>
      <c r="I263" s="61">
        <v>114.5364</v>
      </c>
      <c r="J263" s="61">
        <v>-0.19692999999999999</v>
      </c>
      <c r="K263" s="61">
        <v>5.4247290000000001</v>
      </c>
      <c r="L263" s="62">
        <v>8.4699999999999999E-5</v>
      </c>
      <c r="M263" s="61">
        <v>6.2690000000000003E-3</v>
      </c>
      <c r="N263" s="61">
        <v>2.9005E-2</v>
      </c>
      <c r="O263" s="9"/>
      <c r="P263" s="10"/>
    </row>
    <row r="264" spans="3:16">
      <c r="C264" s="86"/>
      <c r="D264" s="81"/>
      <c r="E264" s="61">
        <v>8</v>
      </c>
      <c r="F264" s="61">
        <v>300</v>
      </c>
      <c r="G264" s="61">
        <v>17</v>
      </c>
      <c r="H264" s="61" t="s">
        <v>17</v>
      </c>
      <c r="I264" s="61">
        <v>124.3283</v>
      </c>
      <c r="J264" s="61">
        <v>-0.19932</v>
      </c>
      <c r="K264" s="61">
        <v>5.0983700000000001</v>
      </c>
      <c r="L264" s="62">
        <v>8.6299999999999997E-5</v>
      </c>
      <c r="M264" s="61">
        <v>6.136E-3</v>
      </c>
      <c r="N264" s="61">
        <v>2.6876000000000001E-2</v>
      </c>
      <c r="O264" s="9"/>
      <c r="P264" s="10"/>
    </row>
    <row r="265" spans="3:16">
      <c r="C265" s="86"/>
      <c r="D265" s="81"/>
      <c r="E265" s="61">
        <v>8</v>
      </c>
      <c r="F265" s="61">
        <v>300</v>
      </c>
      <c r="G265" s="61">
        <v>18</v>
      </c>
      <c r="H265" s="61" t="s">
        <v>18</v>
      </c>
      <c r="I265" s="61">
        <v>140.7353</v>
      </c>
      <c r="J265" s="61">
        <v>-0.28565000000000002</v>
      </c>
      <c r="K265" s="61">
        <v>5.1497279999999996</v>
      </c>
      <c r="L265" s="61">
        <v>1.2400000000000001E-4</v>
      </c>
      <c r="M265" s="61">
        <v>6.5640000000000004E-3</v>
      </c>
      <c r="N265" s="61">
        <v>2.4556999999999999E-2</v>
      </c>
      <c r="O265" s="9"/>
      <c r="P265" s="10"/>
    </row>
    <row r="266" spans="3:16">
      <c r="C266" s="86"/>
      <c r="D266" s="81"/>
      <c r="E266" s="61">
        <v>8</v>
      </c>
      <c r="F266" s="61">
        <v>300</v>
      </c>
      <c r="G266" s="61">
        <v>19</v>
      </c>
      <c r="H266" s="61" t="s">
        <v>19</v>
      </c>
      <c r="I266" s="61">
        <v>157.3492</v>
      </c>
      <c r="J266" s="61">
        <v>-0.36081999999999997</v>
      </c>
      <c r="K266" s="61">
        <v>5.1693340000000001</v>
      </c>
      <c r="L266" s="61">
        <v>1.65E-4</v>
      </c>
      <c r="M266" s="61">
        <v>6.9740000000000002E-3</v>
      </c>
      <c r="N266" s="61">
        <v>2.2594E-2</v>
      </c>
      <c r="O266" s="9"/>
      <c r="P266" s="10"/>
    </row>
    <row r="267" spans="3:16">
      <c r="C267" s="86"/>
      <c r="D267" s="81"/>
      <c r="E267" s="61">
        <v>8</v>
      </c>
      <c r="F267" s="61">
        <v>300</v>
      </c>
      <c r="G267" s="61">
        <v>20</v>
      </c>
      <c r="H267" s="61" t="s">
        <v>20</v>
      </c>
      <c r="I267" s="61">
        <v>167.452</v>
      </c>
      <c r="J267" s="61">
        <v>-0.35749999999999998</v>
      </c>
      <c r="K267" s="61">
        <v>4.9145589999999997</v>
      </c>
      <c r="L267" s="61">
        <v>1.6799999999999999E-4</v>
      </c>
      <c r="M267" s="61">
        <v>6.8570000000000002E-3</v>
      </c>
      <c r="N267" s="61">
        <v>2.1329000000000001E-2</v>
      </c>
      <c r="O267" s="9"/>
      <c r="P267" s="10"/>
    </row>
    <row r="268" spans="3:16">
      <c r="C268" s="86"/>
      <c r="D268" s="81"/>
      <c r="E268" s="63"/>
      <c r="F268" s="64"/>
      <c r="G268" s="64"/>
      <c r="H268" s="64"/>
      <c r="I268" s="64"/>
      <c r="J268" s="64"/>
      <c r="K268" s="64"/>
      <c r="L268" s="64"/>
      <c r="M268" s="64"/>
      <c r="N268" s="64"/>
      <c r="O268" s="9"/>
      <c r="P268" s="10"/>
    </row>
    <row r="269" spans="3:16">
      <c r="C269" s="86"/>
      <c r="D269" s="81"/>
      <c r="E269" s="22" t="s">
        <v>21</v>
      </c>
      <c r="F269" s="22" t="s">
        <v>86</v>
      </c>
      <c r="G269" s="22"/>
      <c r="H269" s="22" t="s">
        <v>13</v>
      </c>
      <c r="I269" s="22" t="s">
        <v>85</v>
      </c>
      <c r="J269" s="22" t="s">
        <v>28</v>
      </c>
      <c r="K269" s="22" t="s">
        <v>29</v>
      </c>
      <c r="L269" s="22" t="s">
        <v>30</v>
      </c>
      <c r="M269" s="22" t="s">
        <v>31</v>
      </c>
      <c r="N269" s="22" t="s">
        <v>32</v>
      </c>
      <c r="O269" s="9"/>
      <c r="P269" s="10"/>
    </row>
    <row r="270" spans="3:16">
      <c r="C270" s="86"/>
      <c r="D270" s="81"/>
      <c r="E270" s="61">
        <v>10</v>
      </c>
      <c r="F270" s="61">
        <v>20</v>
      </c>
      <c r="G270" s="61">
        <v>1</v>
      </c>
      <c r="H270" s="61" t="s">
        <v>0</v>
      </c>
      <c r="I270" s="61">
        <v>7.4004019999999997</v>
      </c>
      <c r="J270" s="61">
        <v>0.27434999999999998</v>
      </c>
      <c r="K270" s="61">
        <v>9.0578819999999993</v>
      </c>
      <c r="L270" s="62">
        <v>3.1099999999999997E-5</v>
      </c>
      <c r="M270" s="61">
        <v>3.5079999999999998E-3</v>
      </c>
      <c r="N270" s="61">
        <v>0.59533000000000003</v>
      </c>
      <c r="O270" s="9"/>
      <c r="P270" s="10"/>
    </row>
    <row r="271" spans="3:16">
      <c r="C271" s="86"/>
      <c r="D271" s="81"/>
      <c r="E271" s="61">
        <v>10</v>
      </c>
      <c r="F271" s="61">
        <v>20</v>
      </c>
      <c r="G271" s="61">
        <v>2</v>
      </c>
      <c r="H271" s="61" t="s">
        <v>1</v>
      </c>
      <c r="I271" s="61">
        <v>9.2448449999999998</v>
      </c>
      <c r="J271" s="61">
        <v>0.27672400000000003</v>
      </c>
      <c r="K271" s="61">
        <v>9.9852460000000001</v>
      </c>
      <c r="L271" s="62">
        <v>2.09E-5</v>
      </c>
      <c r="M271" s="61">
        <v>2.794E-3</v>
      </c>
      <c r="N271" s="61">
        <v>0.48763899999999999</v>
      </c>
      <c r="O271" s="9"/>
      <c r="P271" s="10"/>
    </row>
    <row r="272" spans="3:16">
      <c r="C272" s="86"/>
      <c r="D272" s="81"/>
      <c r="E272" s="61">
        <v>10</v>
      </c>
      <c r="F272" s="61">
        <v>20</v>
      </c>
      <c r="G272" s="61">
        <v>3</v>
      </c>
      <c r="H272" s="61" t="s">
        <v>2</v>
      </c>
      <c r="I272" s="61">
        <v>11.34047</v>
      </c>
      <c r="J272" s="61">
        <v>0.29285099999999997</v>
      </c>
      <c r="K272" s="61">
        <v>11.41155</v>
      </c>
      <c r="L272" s="62">
        <v>1.9000000000000001E-5</v>
      </c>
      <c r="M272" s="61">
        <v>2.0400000000000001E-3</v>
      </c>
      <c r="N272" s="61">
        <v>0.38506000000000001</v>
      </c>
      <c r="O272" s="9"/>
      <c r="P272" s="10"/>
    </row>
    <row r="273" spans="3:16">
      <c r="C273" s="86"/>
      <c r="D273" s="81"/>
      <c r="E273" s="61">
        <v>10</v>
      </c>
      <c r="F273" s="61">
        <v>20</v>
      </c>
      <c r="G273" s="61">
        <v>4</v>
      </c>
      <c r="H273" s="61" t="s">
        <v>3</v>
      </c>
      <c r="I273" s="61">
        <v>10.623150000000001</v>
      </c>
      <c r="J273" s="61">
        <v>0.30124000000000001</v>
      </c>
      <c r="K273" s="61">
        <v>9.424766</v>
      </c>
      <c r="L273" s="62">
        <v>-2.0999999999999998E-6</v>
      </c>
      <c r="M273" s="61">
        <v>3.2369999999999999E-3</v>
      </c>
      <c r="N273" s="61">
        <v>0.44282100000000002</v>
      </c>
      <c r="O273" s="9"/>
      <c r="P273" s="10"/>
    </row>
    <row r="274" spans="3:16">
      <c r="C274" s="86"/>
      <c r="D274" s="81"/>
      <c r="E274" s="61">
        <v>10</v>
      </c>
      <c r="F274" s="61">
        <v>20</v>
      </c>
      <c r="G274" s="61">
        <v>5</v>
      </c>
      <c r="H274" s="61" t="s">
        <v>4</v>
      </c>
      <c r="I274" s="61">
        <v>12.480650000000001</v>
      </c>
      <c r="J274" s="61">
        <v>0.316942</v>
      </c>
      <c r="K274" s="61">
        <v>9.6395199999999992</v>
      </c>
      <c r="L274" s="62">
        <v>7.3100000000000003E-6</v>
      </c>
      <c r="M274" s="61">
        <v>2.581E-3</v>
      </c>
      <c r="N274" s="61">
        <v>0.27933999999999998</v>
      </c>
      <c r="O274" s="9"/>
      <c r="P274" s="10"/>
    </row>
    <row r="275" spans="3:16">
      <c r="C275" s="86"/>
      <c r="D275" s="81"/>
      <c r="E275" s="61">
        <v>10</v>
      </c>
      <c r="F275" s="61">
        <v>20</v>
      </c>
      <c r="G275" s="61">
        <v>6</v>
      </c>
      <c r="H275" s="61" t="s">
        <v>5</v>
      </c>
      <c r="I275" s="61">
        <v>11.074909999999999</v>
      </c>
      <c r="J275" s="61">
        <v>0.19559699999999999</v>
      </c>
      <c r="K275" s="61">
        <v>8.3919250000000005</v>
      </c>
      <c r="L275" s="62">
        <v>1.6699999999999999E-5</v>
      </c>
      <c r="M275" s="61">
        <v>6.2310000000000004E-3</v>
      </c>
      <c r="N275" s="61">
        <v>0.356572</v>
      </c>
      <c r="O275" s="9"/>
      <c r="P275" s="10"/>
    </row>
    <row r="276" spans="3:16">
      <c r="C276" s="86"/>
      <c r="D276" s="81"/>
      <c r="E276" s="61">
        <v>10</v>
      </c>
      <c r="F276" s="61">
        <v>20</v>
      </c>
      <c r="G276" s="61">
        <v>7</v>
      </c>
      <c r="H276" s="61" t="s">
        <v>6</v>
      </c>
      <c r="I276" s="61">
        <v>18.986989999999999</v>
      </c>
      <c r="J276" s="61">
        <v>0.13442200000000001</v>
      </c>
      <c r="K276" s="61">
        <v>5.3402339999999997</v>
      </c>
      <c r="L276" s="62">
        <v>2.51E-5</v>
      </c>
      <c r="M276" s="61">
        <v>6.7229999999999998E-3</v>
      </c>
      <c r="N276" s="61">
        <v>0.20663400000000001</v>
      </c>
      <c r="O276" s="9"/>
      <c r="P276" s="10"/>
    </row>
    <row r="277" spans="3:16">
      <c r="C277" s="86"/>
      <c r="D277" s="81"/>
      <c r="E277" s="61">
        <v>10</v>
      </c>
      <c r="F277" s="61">
        <v>20</v>
      </c>
      <c r="G277" s="61">
        <v>8</v>
      </c>
      <c r="H277" s="61" t="s">
        <v>7</v>
      </c>
      <c r="I277" s="61">
        <v>46.388649999999998</v>
      </c>
      <c r="J277" s="61">
        <v>5.4033999999999999E-2</v>
      </c>
      <c r="K277" s="61">
        <v>7.2775780000000001</v>
      </c>
      <c r="L277" s="62">
        <v>1.84E-5</v>
      </c>
      <c r="M277" s="61">
        <v>4.6420000000000003E-3</v>
      </c>
      <c r="N277" s="61">
        <v>8.3030000000000007E-2</v>
      </c>
      <c r="O277" s="9"/>
      <c r="P277" s="10"/>
    </row>
    <row r="278" spans="3:16">
      <c r="C278" s="86"/>
      <c r="D278" s="81"/>
      <c r="E278" s="61">
        <v>10</v>
      </c>
      <c r="F278" s="61">
        <v>20</v>
      </c>
      <c r="G278" s="61">
        <v>9</v>
      </c>
      <c r="H278" s="61" t="s">
        <v>8</v>
      </c>
      <c r="I278" s="61">
        <v>57.909619999999997</v>
      </c>
      <c r="J278" s="61">
        <v>0.14097100000000001</v>
      </c>
      <c r="K278" s="61">
        <v>4.1399980000000003</v>
      </c>
      <c r="L278" s="62">
        <v>-1.0000000000000001E-5</v>
      </c>
      <c r="M278" s="61">
        <v>3.0040000000000002E-3</v>
      </c>
      <c r="N278" s="61">
        <v>6.6641000000000006E-2</v>
      </c>
      <c r="O278" s="9"/>
      <c r="P278" s="10"/>
    </row>
    <row r="279" spans="3:16">
      <c r="C279" s="86"/>
      <c r="D279" s="81"/>
      <c r="E279" s="61">
        <v>10</v>
      </c>
      <c r="F279" s="61">
        <v>20</v>
      </c>
      <c r="G279" s="61">
        <v>10</v>
      </c>
      <c r="H279" s="61" t="s">
        <v>9</v>
      </c>
      <c r="I279" s="61">
        <v>54.403869999999998</v>
      </c>
      <c r="J279" s="61">
        <v>-8.1879999999999994E-2</v>
      </c>
      <c r="K279" s="61">
        <v>7.7410079999999999</v>
      </c>
      <c r="L279" s="62">
        <v>4.5099999999999998E-5</v>
      </c>
      <c r="M279" s="61">
        <v>6.5900000000000004E-3</v>
      </c>
      <c r="N279" s="61">
        <v>7.3153999999999997E-2</v>
      </c>
      <c r="O279" s="9"/>
      <c r="P279" s="10"/>
    </row>
    <row r="280" spans="3:16">
      <c r="C280" s="86"/>
      <c r="D280" s="81"/>
      <c r="E280" s="61">
        <v>10</v>
      </c>
      <c r="F280" s="61">
        <v>20</v>
      </c>
      <c r="G280" s="61">
        <v>11</v>
      </c>
      <c r="H280" s="61" t="s">
        <v>10</v>
      </c>
      <c r="I280" s="61">
        <v>62.988669999999999</v>
      </c>
      <c r="J280" s="61">
        <v>-5.919E-2</v>
      </c>
      <c r="K280" s="61">
        <v>6.7823779999999996</v>
      </c>
      <c r="L280" s="62">
        <v>3.8800000000000001E-5</v>
      </c>
      <c r="M280" s="61">
        <v>6.0730000000000003E-3</v>
      </c>
      <c r="N280" s="61">
        <v>6.2015000000000001E-2</v>
      </c>
      <c r="O280" s="9"/>
      <c r="P280" s="10"/>
    </row>
    <row r="281" spans="3:16">
      <c r="C281" s="86"/>
      <c r="D281" s="81"/>
      <c r="E281" s="61">
        <v>10</v>
      </c>
      <c r="F281" s="61">
        <v>20</v>
      </c>
      <c r="G281" s="61">
        <v>12</v>
      </c>
      <c r="H281" s="61" t="s">
        <v>11</v>
      </c>
      <c r="I281" s="61">
        <v>71.676029999999997</v>
      </c>
      <c r="J281" s="61">
        <v>-4.8590000000000001E-2</v>
      </c>
      <c r="K281" s="61">
        <v>6.0187600000000003</v>
      </c>
      <c r="L281" s="62">
        <v>3.57E-5</v>
      </c>
      <c r="M281" s="61">
        <v>5.9829999999999996E-3</v>
      </c>
      <c r="N281" s="61">
        <v>5.4472E-2</v>
      </c>
      <c r="O281" s="9"/>
      <c r="P281" s="10"/>
    </row>
    <row r="282" spans="3:16">
      <c r="C282" s="86"/>
      <c r="D282" s="81"/>
      <c r="E282" s="61">
        <v>10</v>
      </c>
      <c r="F282" s="61">
        <v>20</v>
      </c>
      <c r="G282" s="61">
        <v>13</v>
      </c>
      <c r="H282" s="61" t="s">
        <v>12</v>
      </c>
      <c r="I282" s="61">
        <v>87.785659999999993</v>
      </c>
      <c r="J282" s="61">
        <v>-0.17518</v>
      </c>
      <c r="K282" s="61">
        <v>6.2315940000000003</v>
      </c>
      <c r="L282" s="62">
        <v>6.3600000000000001E-5</v>
      </c>
      <c r="M282" s="61">
        <v>6.5709999999999996E-3</v>
      </c>
      <c r="N282" s="61">
        <v>4.6212999999999997E-2</v>
      </c>
      <c r="O282" s="9"/>
      <c r="P282" s="10"/>
    </row>
    <row r="283" spans="3:16">
      <c r="C283" s="86"/>
      <c r="D283" s="81"/>
      <c r="E283" s="61">
        <v>10</v>
      </c>
      <c r="F283" s="61">
        <v>20</v>
      </c>
      <c r="G283" s="61">
        <v>14</v>
      </c>
      <c r="H283" s="61" t="s">
        <v>14</v>
      </c>
      <c r="I283" s="61">
        <v>99.977689999999996</v>
      </c>
      <c r="J283" s="61">
        <v>-0.16195999999999999</v>
      </c>
      <c r="K283" s="61">
        <v>5.5425700000000004</v>
      </c>
      <c r="L283" s="62">
        <v>6.0099999999999997E-5</v>
      </c>
      <c r="M283" s="61">
        <v>6.2100000000000002E-3</v>
      </c>
      <c r="N283" s="61">
        <v>4.0620000000000003E-2</v>
      </c>
      <c r="O283" s="9"/>
      <c r="P283" s="10"/>
    </row>
    <row r="284" spans="3:16">
      <c r="C284" s="86"/>
      <c r="D284" s="81"/>
      <c r="E284" s="61">
        <v>10</v>
      </c>
      <c r="F284" s="61">
        <v>20</v>
      </c>
      <c r="G284" s="61">
        <v>15</v>
      </c>
      <c r="H284" s="61" t="s">
        <v>15</v>
      </c>
      <c r="I284" s="61">
        <v>96.173789999999997</v>
      </c>
      <c r="J284" s="61">
        <v>-0.16775000000000001</v>
      </c>
      <c r="K284" s="61">
        <v>5.8241719999999999</v>
      </c>
      <c r="L284" s="62">
        <v>5.9799999999999997E-5</v>
      </c>
      <c r="M284" s="61">
        <v>6.4770000000000001E-3</v>
      </c>
      <c r="N284" s="61">
        <v>4.2124000000000002E-2</v>
      </c>
      <c r="O284" s="9"/>
      <c r="P284" s="10"/>
    </row>
    <row r="285" spans="3:16">
      <c r="C285" s="86"/>
      <c r="D285" s="81"/>
      <c r="E285" s="61">
        <v>10</v>
      </c>
      <c r="F285" s="61">
        <v>20</v>
      </c>
      <c r="G285" s="61">
        <v>16</v>
      </c>
      <c r="H285" s="61" t="s">
        <v>16</v>
      </c>
      <c r="I285" s="61">
        <v>135.28389999999999</v>
      </c>
      <c r="J285" s="61">
        <v>-0.24581</v>
      </c>
      <c r="K285" s="61">
        <v>4.8002260000000003</v>
      </c>
      <c r="L285" s="62">
        <v>9.0299999999999999E-5</v>
      </c>
      <c r="M285" s="61">
        <v>5.7790000000000003E-3</v>
      </c>
      <c r="N285" s="61">
        <v>3.1274999999999997E-2</v>
      </c>
      <c r="O285" s="9"/>
      <c r="P285" s="10"/>
    </row>
    <row r="286" spans="3:16">
      <c r="C286" s="86"/>
      <c r="D286" s="81"/>
      <c r="E286" s="61">
        <v>10</v>
      </c>
      <c r="F286" s="61">
        <v>20</v>
      </c>
      <c r="G286" s="61">
        <v>17</v>
      </c>
      <c r="H286" s="61" t="s">
        <v>17</v>
      </c>
      <c r="I286" s="61">
        <v>147.32810000000001</v>
      </c>
      <c r="J286" s="61">
        <v>-0.24789</v>
      </c>
      <c r="K286" s="61">
        <v>4.4745799999999996</v>
      </c>
      <c r="L286" s="62">
        <v>9.2700000000000004E-5</v>
      </c>
      <c r="M286" s="61">
        <v>5.6160000000000003E-3</v>
      </c>
      <c r="N286" s="61">
        <v>2.8938999999999999E-2</v>
      </c>
      <c r="O286" s="9"/>
      <c r="P286" s="10"/>
    </row>
    <row r="287" spans="3:16">
      <c r="C287" s="86"/>
      <c r="D287" s="81"/>
      <c r="E287" s="61">
        <v>10</v>
      </c>
      <c r="F287" s="61">
        <v>20</v>
      </c>
      <c r="G287" s="61">
        <v>18</v>
      </c>
      <c r="H287" s="61" t="s">
        <v>18</v>
      </c>
      <c r="I287" s="61">
        <v>168.18389999999999</v>
      </c>
      <c r="J287" s="61">
        <v>-0.35594999999999999</v>
      </c>
      <c r="K287" s="61">
        <v>4.602786</v>
      </c>
      <c r="L287" s="61">
        <v>1.5200000000000001E-4</v>
      </c>
      <c r="M287" s="61">
        <v>6.0699999999999999E-3</v>
      </c>
      <c r="N287" s="61">
        <v>2.6431E-2</v>
      </c>
      <c r="O287" s="9"/>
      <c r="P287" s="10"/>
    </row>
    <row r="288" spans="3:16">
      <c r="C288" s="86"/>
      <c r="D288" s="81"/>
      <c r="E288" s="61">
        <v>10</v>
      </c>
      <c r="F288" s="61">
        <v>20</v>
      </c>
      <c r="G288" s="61">
        <v>19</v>
      </c>
      <c r="H288" s="61" t="s">
        <v>19</v>
      </c>
      <c r="I288" s="61">
        <v>189.34780000000001</v>
      </c>
      <c r="J288" s="61">
        <v>-0.44779999999999998</v>
      </c>
      <c r="K288" s="61">
        <v>4.6850009999999997</v>
      </c>
      <c r="L288" s="61">
        <v>2.1699999999999999E-4</v>
      </c>
      <c r="M288" s="61">
        <v>6.4489999999999999E-3</v>
      </c>
      <c r="N288" s="61">
        <v>2.4285999999999999E-2</v>
      </c>
      <c r="O288" s="9"/>
      <c r="P288" s="10"/>
    </row>
    <row r="289" spans="3:16">
      <c r="C289" s="86"/>
      <c r="D289" s="81"/>
      <c r="E289" s="61">
        <v>10</v>
      </c>
      <c r="F289" s="61">
        <v>20</v>
      </c>
      <c r="G289" s="61">
        <v>20</v>
      </c>
      <c r="H289" s="61" t="s">
        <v>20</v>
      </c>
      <c r="I289" s="61">
        <v>201.94370000000001</v>
      </c>
      <c r="J289" s="61">
        <v>-0.44355</v>
      </c>
      <c r="K289" s="61">
        <v>4.4560789999999999</v>
      </c>
      <c r="L289" s="61">
        <v>2.22E-4</v>
      </c>
      <c r="M289" s="61">
        <v>6.3140000000000002E-3</v>
      </c>
      <c r="N289" s="61">
        <v>2.2891000000000002E-2</v>
      </c>
      <c r="O289" s="9"/>
      <c r="P289" s="10"/>
    </row>
    <row r="290" spans="3:16">
      <c r="C290" s="86"/>
      <c r="D290" s="81"/>
      <c r="E290" s="63"/>
      <c r="F290" s="64"/>
      <c r="G290" s="64"/>
      <c r="H290" s="64"/>
      <c r="I290" s="64"/>
      <c r="J290" s="64"/>
      <c r="K290" s="64"/>
      <c r="L290" s="64"/>
      <c r="M290" s="64"/>
      <c r="N290" s="64"/>
      <c r="O290" s="9"/>
      <c r="P290" s="10"/>
    </row>
    <row r="291" spans="3:16">
      <c r="C291" s="86"/>
      <c r="D291" s="81"/>
      <c r="E291" s="22" t="s">
        <v>21</v>
      </c>
      <c r="F291" s="22" t="s">
        <v>86</v>
      </c>
      <c r="G291" s="22"/>
      <c r="H291" s="22" t="s">
        <v>13</v>
      </c>
      <c r="I291" s="22" t="s">
        <v>85</v>
      </c>
      <c r="J291" s="22" t="s">
        <v>28</v>
      </c>
      <c r="K291" s="22" t="s">
        <v>29</v>
      </c>
      <c r="L291" s="22" t="s">
        <v>30</v>
      </c>
      <c r="M291" s="22" t="s">
        <v>31</v>
      </c>
      <c r="N291" s="22" t="s">
        <v>32</v>
      </c>
      <c r="O291" s="9"/>
      <c r="P291" s="10"/>
    </row>
    <row r="292" spans="3:16">
      <c r="C292" s="86"/>
      <c r="D292" s="81"/>
      <c r="E292" s="61">
        <v>10</v>
      </c>
      <c r="F292" s="61">
        <v>120</v>
      </c>
      <c r="G292" s="61">
        <v>1</v>
      </c>
      <c r="H292" s="61" t="s">
        <v>0</v>
      </c>
      <c r="I292" s="61">
        <v>7.401802</v>
      </c>
      <c r="J292" s="61">
        <v>0.27391900000000002</v>
      </c>
      <c r="K292" s="61">
        <v>8.7566649999999999</v>
      </c>
      <c r="L292" s="62">
        <v>2.97E-5</v>
      </c>
      <c r="M292" s="61">
        <v>3.3419999999999999E-3</v>
      </c>
      <c r="N292" s="61">
        <v>0.60797000000000001</v>
      </c>
      <c r="O292" s="9"/>
      <c r="P292" s="10"/>
    </row>
    <row r="293" spans="3:16">
      <c r="C293" s="86"/>
      <c r="D293" s="81"/>
      <c r="E293" s="61">
        <v>10</v>
      </c>
      <c r="F293" s="61">
        <v>120</v>
      </c>
      <c r="G293" s="61">
        <v>2</v>
      </c>
      <c r="H293" s="61" t="s">
        <v>1</v>
      </c>
      <c r="I293" s="61">
        <v>9.2494759999999996</v>
      </c>
      <c r="J293" s="61">
        <v>0.27012700000000001</v>
      </c>
      <c r="K293" s="61">
        <v>9.7984240000000007</v>
      </c>
      <c r="L293" s="62">
        <v>2.02E-5</v>
      </c>
      <c r="M293" s="61">
        <v>2.6589999999999999E-3</v>
      </c>
      <c r="N293" s="61">
        <v>0.49882500000000002</v>
      </c>
      <c r="O293" s="9"/>
      <c r="P293" s="10"/>
    </row>
    <row r="294" spans="3:16">
      <c r="C294" s="86"/>
      <c r="D294" s="81"/>
      <c r="E294" s="61">
        <v>10</v>
      </c>
      <c r="F294" s="61">
        <v>120</v>
      </c>
      <c r="G294" s="61">
        <v>3</v>
      </c>
      <c r="H294" s="61" t="s">
        <v>2</v>
      </c>
      <c r="I294" s="61">
        <v>11.349600000000001</v>
      </c>
      <c r="J294" s="61">
        <v>0.28580100000000003</v>
      </c>
      <c r="K294" s="61">
        <v>11.212260000000001</v>
      </c>
      <c r="L294" s="62">
        <v>1.84E-5</v>
      </c>
      <c r="M294" s="61">
        <v>1.9009999999999999E-3</v>
      </c>
      <c r="N294" s="61">
        <v>0.39505000000000001</v>
      </c>
      <c r="O294" s="9"/>
      <c r="P294" s="10"/>
    </row>
    <row r="295" spans="3:16">
      <c r="C295" s="86"/>
      <c r="D295" s="81"/>
      <c r="E295" s="61">
        <v>10</v>
      </c>
      <c r="F295" s="61">
        <v>120</v>
      </c>
      <c r="G295" s="61">
        <v>4</v>
      </c>
      <c r="H295" s="61" t="s">
        <v>3</v>
      </c>
      <c r="I295" s="61">
        <v>10.707179999999999</v>
      </c>
      <c r="J295" s="61">
        <v>0.29514899999999999</v>
      </c>
      <c r="K295" s="61">
        <v>9.3945959999999999</v>
      </c>
      <c r="L295" s="62">
        <v>-1.3999999999999999E-6</v>
      </c>
      <c r="M295" s="61">
        <v>3.163E-3</v>
      </c>
      <c r="N295" s="61">
        <v>0.44023600000000002</v>
      </c>
      <c r="O295" s="9"/>
      <c r="P295" s="10"/>
    </row>
    <row r="296" spans="3:16">
      <c r="C296" s="86"/>
      <c r="D296" s="81"/>
      <c r="E296" s="61">
        <v>10</v>
      </c>
      <c r="F296" s="61">
        <v>120</v>
      </c>
      <c r="G296" s="61">
        <v>5</v>
      </c>
      <c r="H296" s="61" t="s">
        <v>4</v>
      </c>
      <c r="I296" s="61">
        <v>12.529249999999999</v>
      </c>
      <c r="J296" s="61">
        <v>0.317388</v>
      </c>
      <c r="K296" s="61">
        <v>9.4600059999999999</v>
      </c>
      <c r="L296" s="62">
        <v>6.7800000000000003E-6</v>
      </c>
      <c r="M296" s="61">
        <v>2.444E-3</v>
      </c>
      <c r="N296" s="61">
        <v>0.28023199999999998</v>
      </c>
      <c r="O296" s="9"/>
      <c r="P296" s="10"/>
    </row>
    <row r="297" spans="3:16">
      <c r="C297" s="86"/>
      <c r="D297" s="81"/>
      <c r="E297" s="61">
        <v>10</v>
      </c>
      <c r="F297" s="61">
        <v>120</v>
      </c>
      <c r="G297" s="61">
        <v>6</v>
      </c>
      <c r="H297" s="61" t="s">
        <v>5</v>
      </c>
      <c r="I297" s="61">
        <v>11.080959999999999</v>
      </c>
      <c r="J297" s="61">
        <v>0.20452200000000001</v>
      </c>
      <c r="K297" s="61">
        <v>8.157152</v>
      </c>
      <c r="L297" s="62">
        <v>1.52E-5</v>
      </c>
      <c r="M297" s="61">
        <v>6.0600000000000003E-3</v>
      </c>
      <c r="N297" s="61">
        <v>0.35694799999999999</v>
      </c>
      <c r="O297" s="9"/>
      <c r="P297" s="10"/>
    </row>
    <row r="298" spans="3:16">
      <c r="C298" s="86"/>
      <c r="D298" s="81"/>
      <c r="E298" s="61">
        <v>10</v>
      </c>
      <c r="F298" s="61">
        <v>120</v>
      </c>
      <c r="G298" s="61">
        <v>7</v>
      </c>
      <c r="H298" s="61" t="s">
        <v>6</v>
      </c>
      <c r="I298" s="61">
        <v>18.988700000000001</v>
      </c>
      <c r="J298" s="61">
        <v>0.124664</v>
      </c>
      <c r="K298" s="61">
        <v>5.4759659999999997</v>
      </c>
      <c r="L298" s="62">
        <v>2.8E-5</v>
      </c>
      <c r="M298" s="61">
        <v>6.5230000000000002E-3</v>
      </c>
      <c r="N298" s="61">
        <v>0.20699799999999999</v>
      </c>
      <c r="O298" s="9"/>
      <c r="P298" s="10"/>
    </row>
    <row r="299" spans="3:16">
      <c r="C299" s="86"/>
      <c r="D299" s="81"/>
      <c r="E299" s="61">
        <v>10</v>
      </c>
      <c r="F299" s="61">
        <v>120</v>
      </c>
      <c r="G299" s="61">
        <v>8</v>
      </c>
      <c r="H299" s="61" t="s">
        <v>7</v>
      </c>
      <c r="I299" s="61">
        <v>46.500869999999999</v>
      </c>
      <c r="J299" s="61">
        <v>5.1624000000000003E-2</v>
      </c>
      <c r="K299" s="61">
        <v>7.2724549999999999</v>
      </c>
      <c r="L299" s="62">
        <v>1.95E-5</v>
      </c>
      <c r="M299" s="61">
        <v>4.5630000000000002E-3</v>
      </c>
      <c r="N299" s="61">
        <v>8.2902000000000003E-2</v>
      </c>
      <c r="O299" s="9"/>
      <c r="P299" s="10"/>
    </row>
    <row r="300" spans="3:16">
      <c r="C300" s="86"/>
      <c r="D300" s="81"/>
      <c r="E300" s="61">
        <v>10</v>
      </c>
      <c r="F300" s="61">
        <v>120</v>
      </c>
      <c r="G300" s="61">
        <v>9</v>
      </c>
      <c r="H300" s="61" t="s">
        <v>8</v>
      </c>
      <c r="I300" s="61">
        <v>58.080019999999998</v>
      </c>
      <c r="J300" s="61">
        <v>0.140767</v>
      </c>
      <c r="K300" s="61">
        <v>4.1085010000000004</v>
      </c>
      <c r="L300" s="62">
        <v>-1.0000000000000001E-5</v>
      </c>
      <c r="M300" s="61">
        <v>2.97E-3</v>
      </c>
      <c r="N300" s="61">
        <v>6.6484000000000001E-2</v>
      </c>
      <c r="O300" s="9"/>
      <c r="P300" s="10"/>
    </row>
    <row r="301" spans="3:16">
      <c r="C301" s="86"/>
      <c r="D301" s="81"/>
      <c r="E301" s="61">
        <v>10</v>
      </c>
      <c r="F301" s="61">
        <v>120</v>
      </c>
      <c r="G301" s="61">
        <v>10</v>
      </c>
      <c r="H301" s="61" t="s">
        <v>9</v>
      </c>
      <c r="I301" s="61">
        <v>55.060110000000002</v>
      </c>
      <c r="J301" s="61">
        <v>-9.8820000000000005E-2</v>
      </c>
      <c r="K301" s="61">
        <v>7.8296489999999999</v>
      </c>
      <c r="L301" s="62">
        <v>5.3699999999999997E-5</v>
      </c>
      <c r="M301" s="61">
        <v>6.3049999999999998E-3</v>
      </c>
      <c r="N301" s="61">
        <v>7.2498999999999994E-2</v>
      </c>
      <c r="O301" s="9"/>
      <c r="P301" s="10"/>
    </row>
    <row r="302" spans="3:16">
      <c r="C302" s="86"/>
      <c r="D302" s="81"/>
      <c r="E302" s="61">
        <v>10</v>
      </c>
      <c r="F302" s="61">
        <v>120</v>
      </c>
      <c r="G302" s="61">
        <v>11</v>
      </c>
      <c r="H302" s="61" t="s">
        <v>10</v>
      </c>
      <c r="I302" s="61">
        <v>63.651350000000001</v>
      </c>
      <c r="J302" s="61">
        <v>-8.0570000000000003E-2</v>
      </c>
      <c r="K302" s="61">
        <v>6.9759690000000001</v>
      </c>
      <c r="L302" s="62">
        <v>4.7700000000000001E-5</v>
      </c>
      <c r="M302" s="61">
        <v>5.7879999999999997E-3</v>
      </c>
      <c r="N302" s="61">
        <v>6.1556E-2</v>
      </c>
      <c r="O302" s="9"/>
      <c r="P302" s="10"/>
    </row>
    <row r="303" spans="3:16">
      <c r="C303" s="86"/>
      <c r="D303" s="81"/>
      <c r="E303" s="61">
        <v>10</v>
      </c>
      <c r="F303" s="61">
        <v>120</v>
      </c>
      <c r="G303" s="61">
        <v>12</v>
      </c>
      <c r="H303" s="61" t="s">
        <v>11</v>
      </c>
      <c r="I303" s="61">
        <v>72.340270000000004</v>
      </c>
      <c r="J303" s="61">
        <v>-7.0610000000000006E-2</v>
      </c>
      <c r="K303" s="61">
        <v>6.242102</v>
      </c>
      <c r="L303" s="62">
        <v>4.4400000000000002E-5</v>
      </c>
      <c r="M303" s="61">
        <v>5.7239999999999999E-3</v>
      </c>
      <c r="N303" s="61">
        <v>5.4141000000000002E-2</v>
      </c>
      <c r="O303" s="9"/>
      <c r="P303" s="10"/>
    </row>
    <row r="304" spans="3:16">
      <c r="C304" s="86"/>
      <c r="D304" s="81"/>
      <c r="E304" s="61">
        <v>10</v>
      </c>
      <c r="F304" s="61">
        <v>120</v>
      </c>
      <c r="G304" s="61">
        <v>13</v>
      </c>
      <c r="H304" s="61" t="s">
        <v>12</v>
      </c>
      <c r="I304" s="61">
        <v>88.444519999999997</v>
      </c>
      <c r="J304" s="61">
        <v>-0.19800999999999999</v>
      </c>
      <c r="K304" s="61">
        <v>6.4689889999999997</v>
      </c>
      <c r="L304" s="62">
        <v>7.5400000000000003E-5</v>
      </c>
      <c r="M304" s="61">
        <v>6.3280000000000003E-3</v>
      </c>
      <c r="N304" s="61">
        <v>4.5976000000000003E-2</v>
      </c>
      <c r="O304" s="9"/>
      <c r="P304" s="10"/>
    </row>
    <row r="305" spans="3:16">
      <c r="C305" s="86"/>
      <c r="D305" s="81"/>
      <c r="E305" s="61">
        <v>10</v>
      </c>
      <c r="F305" s="61">
        <v>120</v>
      </c>
      <c r="G305" s="61">
        <v>14</v>
      </c>
      <c r="H305" s="61" t="s">
        <v>14</v>
      </c>
      <c r="I305" s="61">
        <v>100.6361</v>
      </c>
      <c r="J305" s="61">
        <v>-0.18373999999999999</v>
      </c>
      <c r="K305" s="61">
        <v>5.771909</v>
      </c>
      <c r="L305" s="62">
        <v>7.1299999999999998E-5</v>
      </c>
      <c r="M305" s="61">
        <v>6.0010000000000003E-3</v>
      </c>
      <c r="N305" s="61">
        <v>4.0451000000000001E-2</v>
      </c>
      <c r="O305" s="9"/>
      <c r="P305" s="10"/>
    </row>
    <row r="306" spans="3:16">
      <c r="C306" s="86"/>
      <c r="D306" s="81"/>
      <c r="E306" s="61">
        <v>10</v>
      </c>
      <c r="F306" s="61">
        <v>120</v>
      </c>
      <c r="G306" s="61">
        <v>15</v>
      </c>
      <c r="H306" s="61" t="s">
        <v>15</v>
      </c>
      <c r="I306" s="61">
        <v>96.833299999999994</v>
      </c>
      <c r="J306" s="61">
        <v>-0.19112999999999999</v>
      </c>
      <c r="K306" s="61">
        <v>6.0806940000000003</v>
      </c>
      <c r="L306" s="62">
        <v>7.1299999999999998E-5</v>
      </c>
      <c r="M306" s="61">
        <v>6.2440000000000004E-3</v>
      </c>
      <c r="N306" s="61">
        <v>4.1935E-2</v>
      </c>
      <c r="O306" s="9"/>
      <c r="P306" s="10"/>
    </row>
    <row r="307" spans="3:16">
      <c r="C307" s="86"/>
      <c r="D307" s="81"/>
      <c r="E307" s="61">
        <v>10</v>
      </c>
      <c r="F307" s="61">
        <v>120</v>
      </c>
      <c r="G307" s="61">
        <v>16</v>
      </c>
      <c r="H307" s="61" t="s">
        <v>16</v>
      </c>
      <c r="I307" s="61">
        <v>135.9427</v>
      </c>
      <c r="J307" s="61">
        <v>-0.26482</v>
      </c>
      <c r="K307" s="61">
        <v>4.9787429999999997</v>
      </c>
      <c r="L307" s="61">
        <v>1.0399999999999999E-4</v>
      </c>
      <c r="M307" s="61">
        <v>5.6299999999999996E-3</v>
      </c>
      <c r="N307" s="61">
        <v>3.1189000000000001E-2</v>
      </c>
      <c r="O307" s="9"/>
      <c r="P307" s="10"/>
    </row>
    <row r="308" spans="3:16">
      <c r="C308" s="86"/>
      <c r="D308" s="81"/>
      <c r="E308" s="61">
        <v>10</v>
      </c>
      <c r="F308" s="61">
        <v>120</v>
      </c>
      <c r="G308" s="61">
        <v>17</v>
      </c>
      <c r="H308" s="61" t="s">
        <v>17</v>
      </c>
      <c r="I308" s="61">
        <v>147.98689999999999</v>
      </c>
      <c r="J308" s="61">
        <v>-0.26573999999999998</v>
      </c>
      <c r="K308" s="61">
        <v>4.6371799999999999</v>
      </c>
      <c r="L308" s="61">
        <v>1.06E-4</v>
      </c>
      <c r="M308" s="61">
        <v>5.4850000000000003E-3</v>
      </c>
      <c r="N308" s="61">
        <v>2.8868999999999999E-2</v>
      </c>
      <c r="O308" s="9"/>
      <c r="P308" s="10"/>
    </row>
    <row r="309" spans="3:16">
      <c r="C309" s="86"/>
      <c r="D309" s="81"/>
      <c r="E309" s="61">
        <v>10</v>
      </c>
      <c r="F309" s="61">
        <v>120</v>
      </c>
      <c r="G309" s="61">
        <v>18</v>
      </c>
      <c r="H309" s="61" t="s">
        <v>18</v>
      </c>
      <c r="I309" s="61">
        <v>168.84270000000001</v>
      </c>
      <c r="J309" s="61">
        <v>-0.37489</v>
      </c>
      <c r="K309" s="61">
        <v>4.755026</v>
      </c>
      <c r="L309" s="61">
        <v>1.7000000000000001E-4</v>
      </c>
      <c r="M309" s="61">
        <v>5.9360000000000003E-3</v>
      </c>
      <c r="N309" s="61">
        <v>2.6381999999999999E-2</v>
      </c>
      <c r="O309" s="9"/>
      <c r="P309" s="10"/>
    </row>
    <row r="310" spans="3:16">
      <c r="C310" s="86"/>
      <c r="D310" s="81"/>
      <c r="E310" s="61">
        <v>10</v>
      </c>
      <c r="F310" s="61">
        <v>120</v>
      </c>
      <c r="G310" s="61">
        <v>19</v>
      </c>
      <c r="H310" s="61" t="s">
        <v>19</v>
      </c>
      <c r="I310" s="61">
        <v>190.0067</v>
      </c>
      <c r="J310" s="61">
        <v>-0.46751999999999999</v>
      </c>
      <c r="K310" s="61">
        <v>4.8282720000000001</v>
      </c>
      <c r="L310" s="61">
        <v>2.4000000000000001E-4</v>
      </c>
      <c r="M310" s="61">
        <v>6.3099999999999996E-3</v>
      </c>
      <c r="N310" s="61">
        <v>2.4251999999999999E-2</v>
      </c>
      <c r="O310" s="9"/>
      <c r="P310" s="10"/>
    </row>
    <row r="311" spans="3:16">
      <c r="C311" s="86"/>
      <c r="D311" s="81"/>
      <c r="E311" s="61">
        <v>10</v>
      </c>
      <c r="F311" s="61">
        <v>120</v>
      </c>
      <c r="G311" s="61">
        <v>20</v>
      </c>
      <c r="H311" s="61" t="s">
        <v>20</v>
      </c>
      <c r="I311" s="61">
        <v>202.6026</v>
      </c>
      <c r="J311" s="61">
        <v>-0.46279999999999999</v>
      </c>
      <c r="K311" s="61">
        <v>4.5933260000000002</v>
      </c>
      <c r="L311" s="61">
        <v>2.4499999999999999E-4</v>
      </c>
      <c r="M311" s="61">
        <v>6.1859999999999997E-3</v>
      </c>
      <c r="N311" s="61">
        <v>2.2863999999999999E-2</v>
      </c>
      <c r="O311" s="9"/>
      <c r="P311" s="10"/>
    </row>
    <row r="312" spans="3:16">
      <c r="C312" s="86"/>
      <c r="D312" s="81"/>
      <c r="E312" s="63"/>
      <c r="F312" s="64"/>
      <c r="G312" s="64"/>
      <c r="H312" s="64"/>
      <c r="I312" s="64"/>
      <c r="J312" s="64"/>
      <c r="K312" s="64"/>
      <c r="L312" s="64"/>
      <c r="M312" s="64"/>
      <c r="N312" s="64"/>
      <c r="O312" s="9"/>
      <c r="P312" s="10"/>
    </row>
    <row r="313" spans="3:16">
      <c r="C313" s="86"/>
      <c r="D313" s="81"/>
      <c r="E313" s="22" t="s">
        <v>21</v>
      </c>
      <c r="F313" s="22" t="s">
        <v>86</v>
      </c>
      <c r="G313" s="22"/>
      <c r="H313" s="22" t="s">
        <v>13</v>
      </c>
      <c r="I313" s="22" t="s">
        <v>85</v>
      </c>
      <c r="J313" s="22" t="s">
        <v>28</v>
      </c>
      <c r="K313" s="22" t="s">
        <v>29</v>
      </c>
      <c r="L313" s="22" t="s">
        <v>30</v>
      </c>
      <c r="M313" s="22" t="s">
        <v>31</v>
      </c>
      <c r="N313" s="22" t="s">
        <v>32</v>
      </c>
      <c r="O313" s="9"/>
      <c r="P313" s="10"/>
    </row>
    <row r="314" spans="3:16">
      <c r="C314" s="86"/>
      <c r="D314" s="81"/>
      <c r="E314" s="61">
        <v>10</v>
      </c>
      <c r="F314" s="61">
        <v>300</v>
      </c>
      <c r="G314" s="61">
        <v>1</v>
      </c>
      <c r="H314" s="61" t="s">
        <v>0</v>
      </c>
      <c r="I314" s="61">
        <v>7.4171800000000001</v>
      </c>
      <c r="J314" s="61">
        <v>0.23286499999999999</v>
      </c>
      <c r="K314" s="61">
        <v>8.6560699999999997</v>
      </c>
      <c r="L314" s="62">
        <v>3.1999999999999999E-5</v>
      </c>
      <c r="M314" s="61">
        <v>2.823E-3</v>
      </c>
      <c r="N314" s="61">
        <v>0.64833399999999997</v>
      </c>
      <c r="O314" s="9"/>
      <c r="P314" s="10"/>
    </row>
    <row r="315" spans="3:16">
      <c r="C315" s="86"/>
      <c r="D315" s="81"/>
      <c r="E315" s="61">
        <v>10</v>
      </c>
      <c r="F315" s="61">
        <v>300</v>
      </c>
      <c r="G315" s="61">
        <v>2</v>
      </c>
      <c r="H315" s="61" t="s">
        <v>1</v>
      </c>
      <c r="I315" s="61">
        <v>9.2891849999999998</v>
      </c>
      <c r="J315" s="61">
        <v>0.227191</v>
      </c>
      <c r="K315" s="61">
        <v>9.7800910000000005</v>
      </c>
      <c r="L315" s="62">
        <v>2.3099999999999999E-5</v>
      </c>
      <c r="M315" s="61">
        <v>2.2820000000000002E-3</v>
      </c>
      <c r="N315" s="61">
        <v>0.52860300000000005</v>
      </c>
      <c r="O315" s="9"/>
      <c r="P315" s="10"/>
    </row>
    <row r="316" spans="3:16">
      <c r="C316" s="86"/>
      <c r="D316" s="81"/>
      <c r="E316" s="61">
        <v>10</v>
      </c>
      <c r="F316" s="61">
        <v>300</v>
      </c>
      <c r="G316" s="61">
        <v>3</v>
      </c>
      <c r="H316" s="61" t="s">
        <v>2</v>
      </c>
      <c r="I316" s="61">
        <v>11.42163</v>
      </c>
      <c r="J316" s="61">
        <v>0.24032400000000001</v>
      </c>
      <c r="K316" s="61">
        <v>11.12027</v>
      </c>
      <c r="L316" s="62">
        <v>2.12E-5</v>
      </c>
      <c r="M316" s="61">
        <v>1.5629999999999999E-3</v>
      </c>
      <c r="N316" s="61">
        <v>0.42246899999999998</v>
      </c>
      <c r="O316" s="9"/>
      <c r="P316" s="10"/>
    </row>
    <row r="317" spans="3:16">
      <c r="C317" s="86"/>
      <c r="D317" s="81"/>
      <c r="E317" s="61">
        <v>10</v>
      </c>
      <c r="F317" s="61">
        <v>300</v>
      </c>
      <c r="G317" s="61">
        <v>4</v>
      </c>
      <c r="H317" s="61" t="s">
        <v>3</v>
      </c>
      <c r="I317" s="61">
        <v>10.959239999999999</v>
      </c>
      <c r="J317" s="61">
        <v>0.27991199999999999</v>
      </c>
      <c r="K317" s="61">
        <v>9.1886469999999996</v>
      </c>
      <c r="L317" s="62">
        <v>1.28E-6</v>
      </c>
      <c r="M317" s="61">
        <v>2.8969999999999998E-3</v>
      </c>
      <c r="N317" s="61">
        <v>0.43398399999999998</v>
      </c>
      <c r="O317" s="9"/>
      <c r="P317" s="10"/>
    </row>
    <row r="318" spans="3:16">
      <c r="C318" s="86"/>
      <c r="D318" s="81"/>
      <c r="E318" s="61">
        <v>10</v>
      </c>
      <c r="F318" s="61">
        <v>300</v>
      </c>
      <c r="G318" s="61">
        <v>5</v>
      </c>
      <c r="H318" s="61" t="s">
        <v>4</v>
      </c>
      <c r="I318" s="61">
        <v>12.663930000000001</v>
      </c>
      <c r="J318" s="61">
        <v>0.29876900000000001</v>
      </c>
      <c r="K318" s="61">
        <v>9.3923469999999991</v>
      </c>
      <c r="L318" s="62">
        <v>1.06E-5</v>
      </c>
      <c r="M318" s="61">
        <v>2.1800000000000001E-3</v>
      </c>
      <c r="N318" s="61">
        <v>0.28236699999999998</v>
      </c>
      <c r="O318" s="9"/>
      <c r="P318" s="10"/>
    </row>
    <row r="319" spans="3:16">
      <c r="C319" s="86"/>
      <c r="D319" s="81"/>
      <c r="E319" s="61">
        <v>10</v>
      </c>
      <c r="F319" s="61">
        <v>300</v>
      </c>
      <c r="G319" s="61">
        <v>6</v>
      </c>
      <c r="H319" s="61" t="s">
        <v>5</v>
      </c>
      <c r="I319" s="61">
        <v>11.19492</v>
      </c>
      <c r="J319" s="61">
        <v>0.197906</v>
      </c>
      <c r="K319" s="61">
        <v>8.0622120000000006</v>
      </c>
      <c r="L319" s="62">
        <v>1.8199999999999999E-5</v>
      </c>
      <c r="M319" s="61">
        <v>5.7089999999999997E-3</v>
      </c>
      <c r="N319" s="61">
        <v>0.35464400000000001</v>
      </c>
      <c r="O319" s="9"/>
      <c r="P319" s="10"/>
    </row>
    <row r="320" spans="3:16">
      <c r="C320" s="86"/>
      <c r="D320" s="81"/>
      <c r="E320" s="61">
        <v>10</v>
      </c>
      <c r="F320" s="61">
        <v>300</v>
      </c>
      <c r="G320" s="61">
        <v>7</v>
      </c>
      <c r="H320" s="61" t="s">
        <v>6</v>
      </c>
      <c r="I320" s="61">
        <v>19.028870000000001</v>
      </c>
      <c r="J320" s="61">
        <v>0.10788499999999999</v>
      </c>
      <c r="K320" s="61">
        <v>5.6941810000000004</v>
      </c>
      <c r="L320" s="62">
        <v>3.5599999999999998E-5</v>
      </c>
      <c r="M320" s="61">
        <v>6.1330000000000004E-3</v>
      </c>
      <c r="N320" s="61">
        <v>0.20703199999999999</v>
      </c>
      <c r="O320" s="9"/>
      <c r="P320" s="10"/>
    </row>
    <row r="321" spans="3:16">
      <c r="C321" s="86"/>
      <c r="D321" s="81"/>
      <c r="E321" s="61">
        <v>10</v>
      </c>
      <c r="F321" s="61">
        <v>300</v>
      </c>
      <c r="G321" s="61">
        <v>8</v>
      </c>
      <c r="H321" s="61" t="s">
        <v>7</v>
      </c>
      <c r="I321" s="61">
        <v>47.082599999999999</v>
      </c>
      <c r="J321" s="61">
        <v>3.6958999999999999E-2</v>
      </c>
      <c r="K321" s="61">
        <v>7.3297100000000004</v>
      </c>
      <c r="L321" s="62">
        <v>2.5899999999999999E-5</v>
      </c>
      <c r="M321" s="61">
        <v>4.2969999999999996E-3</v>
      </c>
      <c r="N321" s="61">
        <v>8.2130999999999996E-2</v>
      </c>
      <c r="O321" s="9"/>
      <c r="P321" s="10"/>
    </row>
    <row r="322" spans="3:16">
      <c r="C322" s="86"/>
      <c r="D322" s="81"/>
      <c r="E322" s="61">
        <v>10</v>
      </c>
      <c r="F322" s="61">
        <v>300</v>
      </c>
      <c r="G322" s="61">
        <v>9</v>
      </c>
      <c r="H322" s="61" t="s">
        <v>8</v>
      </c>
      <c r="I322" s="61">
        <v>58.677129999999998</v>
      </c>
      <c r="J322" s="61">
        <v>0.13703499999999999</v>
      </c>
      <c r="K322" s="61">
        <v>4.0627680000000002</v>
      </c>
      <c r="L322" s="62">
        <v>-8.4999999999999999E-6</v>
      </c>
      <c r="M322" s="61">
        <v>2.869E-3</v>
      </c>
      <c r="N322" s="61">
        <v>6.5907999999999994E-2</v>
      </c>
      <c r="O322" s="9"/>
      <c r="P322" s="10"/>
    </row>
    <row r="323" spans="3:16">
      <c r="C323" s="86"/>
      <c r="D323" s="81"/>
      <c r="E323" s="61">
        <v>10</v>
      </c>
      <c r="F323" s="61">
        <v>300</v>
      </c>
      <c r="G323" s="61">
        <v>10</v>
      </c>
      <c r="H323" s="61" t="s">
        <v>9</v>
      </c>
      <c r="I323" s="61">
        <v>55.832630000000002</v>
      </c>
      <c r="J323" s="61">
        <v>-0.12107</v>
      </c>
      <c r="K323" s="61">
        <v>7.9483759999999997</v>
      </c>
      <c r="L323" s="62">
        <v>6.7600000000000003E-5</v>
      </c>
      <c r="M323" s="61">
        <v>5.9150000000000001E-3</v>
      </c>
      <c r="N323" s="61">
        <v>7.1777999999999995E-2</v>
      </c>
      <c r="O323" s="9"/>
      <c r="P323" s="10"/>
    </row>
    <row r="324" spans="3:16">
      <c r="C324" s="86"/>
      <c r="D324" s="81"/>
      <c r="E324" s="61">
        <v>10</v>
      </c>
      <c r="F324" s="61">
        <v>300</v>
      </c>
      <c r="G324" s="61">
        <v>11</v>
      </c>
      <c r="H324" s="61" t="s">
        <v>10</v>
      </c>
      <c r="I324" s="61">
        <v>64.52</v>
      </c>
      <c r="J324" s="61">
        <v>-0.11032</v>
      </c>
      <c r="K324" s="61">
        <v>7.2517880000000003</v>
      </c>
      <c r="L324" s="62">
        <v>6.2899999999999997E-5</v>
      </c>
      <c r="M324" s="61">
        <v>5.378E-3</v>
      </c>
      <c r="N324" s="61">
        <v>6.0957999999999998E-2</v>
      </c>
      <c r="O324" s="9"/>
      <c r="P324" s="10"/>
    </row>
    <row r="325" spans="3:16">
      <c r="C325" s="86"/>
      <c r="D325" s="81"/>
      <c r="E325" s="61">
        <v>10</v>
      </c>
      <c r="F325" s="61">
        <v>300</v>
      </c>
      <c r="G325" s="61">
        <v>12</v>
      </c>
      <c r="H325" s="61" t="s">
        <v>11</v>
      </c>
      <c r="I325" s="61">
        <v>73.236949999999993</v>
      </c>
      <c r="J325" s="61">
        <v>-0.10205</v>
      </c>
      <c r="K325" s="61">
        <v>6.5696339999999998</v>
      </c>
      <c r="L325" s="62">
        <v>5.9599999999999999E-5</v>
      </c>
      <c r="M325" s="61">
        <v>5.3420000000000004E-3</v>
      </c>
      <c r="N325" s="61">
        <v>5.3686999999999999E-2</v>
      </c>
      <c r="O325" s="9"/>
      <c r="P325" s="10"/>
    </row>
    <row r="326" spans="3:16">
      <c r="C326" s="86"/>
      <c r="D326" s="81"/>
      <c r="E326" s="61">
        <v>10</v>
      </c>
      <c r="F326" s="61">
        <v>300</v>
      </c>
      <c r="G326" s="61">
        <v>13</v>
      </c>
      <c r="H326" s="61" t="s">
        <v>12</v>
      </c>
      <c r="I326" s="61">
        <v>89.26285</v>
      </c>
      <c r="J326" s="61">
        <v>-0.22814999999999999</v>
      </c>
      <c r="K326" s="61">
        <v>6.7903029999999998</v>
      </c>
      <c r="L326" s="62">
        <v>9.3800000000000003E-5</v>
      </c>
      <c r="M326" s="61">
        <v>5.9870000000000001E-3</v>
      </c>
      <c r="N326" s="61">
        <v>4.5671999999999997E-2</v>
      </c>
      <c r="O326" s="9"/>
      <c r="P326" s="10"/>
    </row>
    <row r="327" spans="3:16">
      <c r="C327" s="86"/>
      <c r="D327" s="81"/>
      <c r="E327" s="61">
        <v>10</v>
      </c>
      <c r="F327" s="61">
        <v>300</v>
      </c>
      <c r="G327" s="61">
        <v>14</v>
      </c>
      <c r="H327" s="61" t="s">
        <v>14</v>
      </c>
      <c r="I327" s="61">
        <v>101.43899999999999</v>
      </c>
      <c r="J327" s="61">
        <v>-0.21271999999999999</v>
      </c>
      <c r="K327" s="61">
        <v>6.0841139999999996</v>
      </c>
      <c r="L327" s="62">
        <v>8.8900000000000006E-5</v>
      </c>
      <c r="M327" s="61">
        <v>5.7039999999999999E-3</v>
      </c>
      <c r="N327" s="61">
        <v>4.0240999999999999E-2</v>
      </c>
      <c r="O327" s="9"/>
      <c r="P327" s="10"/>
    </row>
    <row r="328" spans="3:16">
      <c r="C328" s="86"/>
      <c r="D328" s="81"/>
      <c r="E328" s="61">
        <v>10</v>
      </c>
      <c r="F328" s="61">
        <v>300</v>
      </c>
      <c r="G328" s="61">
        <v>15</v>
      </c>
      <c r="H328" s="61" t="s">
        <v>15</v>
      </c>
      <c r="I328" s="61">
        <v>97.67962</v>
      </c>
      <c r="J328" s="61">
        <v>-0.22234000000000001</v>
      </c>
      <c r="K328" s="61">
        <v>6.4309719999999997</v>
      </c>
      <c r="L328" s="62">
        <v>8.9599999999999996E-5</v>
      </c>
      <c r="M328" s="61">
        <v>5.9119999999999997E-3</v>
      </c>
      <c r="N328" s="61">
        <v>4.1680000000000002E-2</v>
      </c>
      <c r="O328" s="9"/>
      <c r="P328" s="10"/>
    </row>
    <row r="329" spans="3:16">
      <c r="C329" s="86"/>
      <c r="D329" s="81"/>
      <c r="E329" s="61">
        <v>10</v>
      </c>
      <c r="F329" s="61">
        <v>300</v>
      </c>
      <c r="G329" s="61">
        <v>16</v>
      </c>
      <c r="H329" s="61" t="s">
        <v>16</v>
      </c>
      <c r="I329" s="61">
        <v>136.66210000000001</v>
      </c>
      <c r="J329" s="61">
        <v>-0.29009000000000001</v>
      </c>
      <c r="K329" s="61">
        <v>5.2228570000000003</v>
      </c>
      <c r="L329" s="61">
        <v>1.2400000000000001E-4</v>
      </c>
      <c r="M329" s="61">
        <v>5.4229999999999999E-3</v>
      </c>
      <c r="N329" s="61">
        <v>3.1099000000000002E-2</v>
      </c>
      <c r="O329" s="9"/>
      <c r="P329" s="10"/>
    </row>
    <row r="330" spans="3:16">
      <c r="C330" s="86"/>
      <c r="D330" s="81"/>
      <c r="E330" s="61">
        <v>10</v>
      </c>
      <c r="F330" s="61">
        <v>300</v>
      </c>
      <c r="G330" s="61">
        <v>17</v>
      </c>
      <c r="H330" s="61" t="s">
        <v>17</v>
      </c>
      <c r="I330" s="61">
        <v>148.69800000000001</v>
      </c>
      <c r="J330" s="61">
        <v>-0.28963</v>
      </c>
      <c r="K330" s="61">
        <v>4.8602049999999997</v>
      </c>
      <c r="L330" s="61">
        <v>1.26E-4</v>
      </c>
      <c r="M330" s="61">
        <v>5.3030000000000004E-3</v>
      </c>
      <c r="N330" s="61">
        <v>2.8799999999999999E-2</v>
      </c>
      <c r="O330" s="9"/>
      <c r="P330" s="10"/>
    </row>
    <row r="331" spans="3:16">
      <c r="C331" s="86"/>
      <c r="D331" s="81"/>
      <c r="E331" s="61">
        <v>10</v>
      </c>
      <c r="F331" s="61">
        <v>300</v>
      </c>
      <c r="G331" s="61">
        <v>18</v>
      </c>
      <c r="H331" s="61" t="s">
        <v>18</v>
      </c>
      <c r="I331" s="61">
        <v>169.55179999999999</v>
      </c>
      <c r="J331" s="61">
        <v>-0.40054000000000001</v>
      </c>
      <c r="K331" s="61">
        <v>4.9678009999999997</v>
      </c>
      <c r="L331" s="61">
        <v>1.9699999999999999E-4</v>
      </c>
      <c r="M331" s="61">
        <v>5.7540000000000004E-3</v>
      </c>
      <c r="N331" s="61">
        <v>2.6332000000000001E-2</v>
      </c>
      <c r="O331" s="9"/>
      <c r="P331" s="10"/>
    </row>
    <row r="332" spans="3:16">
      <c r="C332" s="86"/>
      <c r="D332" s="81"/>
      <c r="E332" s="61">
        <v>10</v>
      </c>
      <c r="F332" s="61">
        <v>300</v>
      </c>
      <c r="G332" s="61">
        <v>19</v>
      </c>
      <c r="H332" s="61" t="s">
        <v>19</v>
      </c>
      <c r="I332" s="61">
        <v>190.7166</v>
      </c>
      <c r="J332" s="61">
        <v>-0.49442000000000003</v>
      </c>
      <c r="K332" s="61">
        <v>5.0307250000000003</v>
      </c>
      <c r="L332" s="61">
        <v>2.7399999999999999E-4</v>
      </c>
      <c r="M332" s="61">
        <v>6.1250000000000002E-3</v>
      </c>
      <c r="N332" s="61">
        <v>2.4216999999999999E-2</v>
      </c>
      <c r="O332" s="9"/>
      <c r="P332" s="10"/>
    </row>
    <row r="333" spans="3:16">
      <c r="C333" s="86"/>
      <c r="D333" s="81"/>
      <c r="E333" s="61">
        <v>10</v>
      </c>
      <c r="F333" s="61">
        <v>300</v>
      </c>
      <c r="G333" s="61">
        <v>20</v>
      </c>
      <c r="H333" s="61" t="s">
        <v>20</v>
      </c>
      <c r="I333" s="61">
        <v>203.31299999999999</v>
      </c>
      <c r="J333" s="61">
        <v>-0.48915999999999998</v>
      </c>
      <c r="K333" s="61">
        <v>4.787312</v>
      </c>
      <c r="L333" s="61">
        <v>2.7900000000000001E-4</v>
      </c>
      <c r="M333" s="61">
        <v>6.0140000000000002E-3</v>
      </c>
      <c r="N333" s="61">
        <v>2.2838000000000001E-2</v>
      </c>
      <c r="O333" s="9"/>
      <c r="P333" s="10"/>
    </row>
    <row r="334" spans="3:16">
      <c r="C334" s="86"/>
      <c r="D334" s="81"/>
      <c r="E334" s="9"/>
      <c r="F334" s="9"/>
      <c r="G334" s="9"/>
      <c r="H334" s="9"/>
      <c r="I334" s="9"/>
      <c r="J334" s="9"/>
      <c r="K334" s="9"/>
      <c r="L334" s="9"/>
      <c r="M334" s="9"/>
      <c r="N334" s="9"/>
      <c r="O334" s="9"/>
      <c r="P334" s="10"/>
    </row>
    <row r="335" spans="3:16">
      <c r="C335" s="86"/>
      <c r="D335" s="81"/>
      <c r="E335" s="9"/>
      <c r="F335" s="9"/>
      <c r="G335" s="9"/>
      <c r="H335" s="9"/>
      <c r="I335" s="9"/>
      <c r="J335" s="9"/>
      <c r="K335" s="9"/>
      <c r="L335" s="9"/>
      <c r="M335" s="9"/>
      <c r="N335" s="9"/>
      <c r="O335" s="9"/>
      <c r="P335" s="10"/>
    </row>
    <row r="336" spans="3:16">
      <c r="C336" s="86"/>
      <c r="D336" s="81"/>
      <c r="E336" s="9"/>
      <c r="F336" s="9"/>
      <c r="G336" s="9"/>
      <c r="H336" s="9"/>
      <c r="I336" s="9"/>
      <c r="J336" s="9"/>
      <c r="K336" s="9"/>
      <c r="L336" s="9"/>
      <c r="M336" s="9"/>
      <c r="N336" s="9"/>
      <c r="O336" s="9"/>
      <c r="P336" s="10"/>
    </row>
    <row r="337" spans="3:16">
      <c r="C337" s="86"/>
      <c r="D337" s="85"/>
      <c r="E337" s="66"/>
      <c r="F337" s="66"/>
      <c r="G337" s="66"/>
      <c r="H337" s="66"/>
      <c r="I337" s="66"/>
      <c r="J337" s="66"/>
      <c r="K337" s="66"/>
      <c r="L337" s="66"/>
      <c r="M337" s="66"/>
      <c r="N337" s="66"/>
      <c r="O337" s="66"/>
      <c r="P337" s="67"/>
    </row>
    <row r="338" spans="3:16"/>
    <row r="339" spans="3:16"/>
    <row r="340" spans="3:16"/>
    <row r="341" spans="3:16"/>
    <row r="342" spans="3:16"/>
    <row r="343" spans="3:16"/>
    <row r="344" spans="3:16"/>
  </sheetData>
  <customSheetViews>
    <customSheetView guid="{5C6A6B42-DFAF-4739-B7D4-CA7A880613DB}" scale="90">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D7"/>
  <sheetViews>
    <sheetView workbookViewId="0">
      <selection activeCell="H36" sqref="H36"/>
    </sheetView>
  </sheetViews>
  <sheetFormatPr defaultRowHeight="14.4"/>
  <cols>
    <col min="1" max="1" width="32.21875" customWidth="1"/>
    <col min="2" max="2" width="14" customWidth="1"/>
  </cols>
  <sheetData>
    <row r="1" spans="1:4">
      <c r="A1" t="s">
        <v>71</v>
      </c>
      <c r="B1" t="s">
        <v>77</v>
      </c>
      <c r="C1" t="s">
        <v>78</v>
      </c>
      <c r="D1" t="s">
        <v>80</v>
      </c>
    </row>
    <row r="2" spans="1:4">
      <c r="A2" t="s">
        <v>75</v>
      </c>
      <c r="B2">
        <v>0</v>
      </c>
      <c r="C2">
        <v>2</v>
      </c>
      <c r="D2">
        <f>C2-B2</f>
        <v>2</v>
      </c>
    </row>
    <row r="3" spans="1:4">
      <c r="A3" t="s">
        <v>76</v>
      </c>
      <c r="B3">
        <v>1.5</v>
      </c>
      <c r="C3">
        <v>3.5</v>
      </c>
      <c r="D3">
        <f t="shared" ref="D3:D7" si="0">C3-B3</f>
        <v>2</v>
      </c>
    </row>
    <row r="4" spans="1:4">
      <c r="A4" t="s">
        <v>79</v>
      </c>
      <c r="B4">
        <v>2.5</v>
      </c>
      <c r="C4">
        <v>6</v>
      </c>
      <c r="D4">
        <f t="shared" si="0"/>
        <v>3.5</v>
      </c>
    </row>
    <row r="5" spans="1:4">
      <c r="A5" t="s">
        <v>72</v>
      </c>
      <c r="B5">
        <v>3.5</v>
      </c>
      <c r="C5">
        <v>10</v>
      </c>
      <c r="D5">
        <f t="shared" si="0"/>
        <v>6.5</v>
      </c>
    </row>
    <row r="6" spans="1:4">
      <c r="A6" t="s">
        <v>73</v>
      </c>
      <c r="B6">
        <v>4</v>
      </c>
      <c r="C6">
        <v>11</v>
      </c>
      <c r="D6">
        <f t="shared" si="0"/>
        <v>7</v>
      </c>
    </row>
    <row r="7" spans="1:4">
      <c r="A7" t="s">
        <v>74</v>
      </c>
      <c r="B7">
        <v>8</v>
      </c>
      <c r="C7">
        <v>16</v>
      </c>
      <c r="D7">
        <f t="shared" si="0"/>
        <v>8</v>
      </c>
    </row>
  </sheetData>
  <sheetProtection algorithmName="SHA-512" hashValue="7L0VGWGYk6yAZVRdGIcy0GexvIrsenSey+4h7tYSTnWWoCa19OPNfx5xeyxeYauTE7pnYdOa2uJtdX5ylCHTmQ==" saltValue="DPWRxSw6Vjl/UkXA7pjbuQ==" spinCount="100000" sheet="1" objects="1" scenarios="1"/>
  <customSheetViews>
    <customSheetView guid="{5C6A6B42-DFAF-4739-B7D4-CA7A880613DB}" state="hidden">
      <selection activeCell="O20" sqref="O20"/>
      <pageMargins left="0.7" right="0.7" top="0.75" bottom="0.75" header="0.3" footer="0.3"/>
    </customSheetView>
  </customSheetView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86ECA505872C4384AB3ECD1E052BEA" ma:contentTypeVersion="2" ma:contentTypeDescription="Create a new document." ma:contentTypeScope="" ma:versionID="fb1329587ca79dbf6dbeb7c53900891e">
  <xsd:schema xmlns:xsd="http://www.w3.org/2001/XMLSchema" xmlns:xs="http://www.w3.org/2001/XMLSchema" xmlns:p="http://schemas.microsoft.com/office/2006/metadata/properties" xmlns:ns2="31a5feaa-565b-49b2-ba3c-73fb19e9da14" targetNamespace="http://schemas.microsoft.com/office/2006/metadata/properties" ma:root="true" ma:fieldsID="1bca3b449eada08eb21d90289f63eb2c" ns2:_="">
    <xsd:import namespace="31a5feaa-565b-49b2-ba3c-73fb19e9da1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5feaa-565b-49b2-ba3c-73fb19e9d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C998EE-5AB0-4D74-99AF-2E52BBA9925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31a5feaa-565b-49b2-ba3c-73fb19e9da14"/>
    <ds:schemaRef ds:uri="http://www.w3.org/XML/1998/namespace"/>
    <ds:schemaRef ds:uri="http://purl.org/dc/dcmitype/"/>
  </ds:schemaRefs>
</ds:datastoreItem>
</file>

<file path=customXml/itemProps2.xml><?xml version="1.0" encoding="utf-8"?>
<ds:datastoreItem xmlns:ds="http://schemas.openxmlformats.org/officeDocument/2006/customXml" ds:itemID="{3C8B201E-E7D1-43EE-A713-CAB0459477CE}">
  <ds:schemaRefs>
    <ds:schemaRef ds:uri="http://schemas.microsoft.com/sharepoint/v3/contenttype/forms"/>
  </ds:schemaRefs>
</ds:datastoreItem>
</file>

<file path=customXml/itemProps3.xml><?xml version="1.0" encoding="utf-8"?>
<ds:datastoreItem xmlns:ds="http://schemas.openxmlformats.org/officeDocument/2006/customXml" ds:itemID="{8E4B8CB2-643C-4400-92B2-AEBC2F0028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5feaa-565b-49b2-ba3c-73fb19e9da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Cover</vt:lpstr>
      <vt:lpstr>User guide</vt:lpstr>
      <vt:lpstr>Model selection guide</vt:lpstr>
      <vt:lpstr>Calculator</vt:lpstr>
      <vt:lpstr>Additional inputs</vt:lpstr>
      <vt:lpstr>CPI</vt:lpstr>
      <vt:lpstr>VOC coefficients</vt:lpstr>
      <vt:lpstr>Fuel coefficients</vt:lpstr>
      <vt:lpstr>IRI scale</vt:lpstr>
      <vt:lpstr>base_fuel</vt:lpstr>
      <vt:lpstr>basevoc_col</vt:lpstr>
      <vt:lpstr>curv_col</vt:lpstr>
      <vt:lpstr>curv_fuel</vt:lpstr>
      <vt:lpstr>grad_col</vt:lpstr>
      <vt:lpstr>grad_fuel</vt:lpstr>
      <vt:lpstr>k_one</vt:lpstr>
      <vt:lpstr>K1_col</vt:lpstr>
      <vt:lpstr>k1_fuel</vt:lpstr>
      <vt:lpstr>k1_vol</vt:lpstr>
      <vt:lpstr>k2_col</vt:lpstr>
      <vt:lpstr>k2_fuel</vt:lpstr>
      <vt:lpstr>k3_col</vt:lpstr>
      <vt:lpstr>k3_fuel</vt:lpstr>
      <vt:lpstr>k4_col</vt:lpstr>
      <vt:lpstr>k4_fuel</vt:lpstr>
      <vt:lpstr>k5_col</vt:lpstr>
      <vt:lpstr>k5_fuel</vt:lpstr>
      <vt:lpstr>k6_col</vt:lpstr>
      <vt:lpstr>veh_class</vt:lpstr>
      <vt:lpstr>veh_class_fuel</vt:lpstr>
      <vt:lpstr>vehclass_col</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Millie.Skoko@transport.nsw.gov.au</dc:creator>
  <cp:lastModifiedBy>Baojin Wang</cp:lastModifiedBy>
  <cp:lastPrinted>2015-12-09T05:30:59Z</cp:lastPrinted>
  <dcterms:created xsi:type="dcterms:W3CDTF">2015-10-13T00:14:10Z</dcterms:created>
  <dcterms:modified xsi:type="dcterms:W3CDTF">2022-10-14T01:19:49Z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0x0101005386ECA505872C4384AB3ECD1E052BEA</vt:lpwstr>
  </property>
</Properties>
</file>